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gnsplc-my.sharepoint.com/personal/chock_booher_genusplc_com/Documents/Documents/Ventilation/"/>
    </mc:Choice>
  </mc:AlternateContent>
  <xr:revisionPtr revIDLastSave="0" documentId="8_{25C693ED-5510-4044-96DB-B94B687F04A3}" xr6:coauthVersionLast="47" xr6:coauthVersionMax="47" xr10:uidLastSave="{00000000-0000-0000-0000-000000000000}"/>
  <workbookProtection workbookAlgorithmName="SHA-512" workbookHashValue="NcniVlJoy9asPQzVCriJJnzSNLvQMVwywJvvAGJuOgZcBpYI5+IAixhzV3lUPu7ed3yVITYS7v4ZamBkfTfS3Q==" workbookSaltValue="XyapoEJsfu5549ziXV0hwA==" workbookSpinCount="100000" lockStructure="1"/>
  <bookViews>
    <workbookView xWindow="-120" yWindow="-120" windowWidth="29040" windowHeight="15840" tabRatio="691" activeTab="1" xr2:uid="{12888B62-D36B-43C3-B5A0-51F52C3CE795}"/>
  </bookViews>
  <sheets>
    <sheet name="Instructions" sheetId="7" r:id="rId1"/>
    <sheet name="Minimum Ventilation CFMs" sheetId="3" r:id="rId2"/>
    <sheet name="Fan Power Setting" sheetId="1" r:id="rId3"/>
    <sheet name="Inlet Opening Variable" sheetId="2" r:id="rId4"/>
    <sheet name="Inlet Opening Timer" sheetId="4" r:id="rId5"/>
    <sheet name="Consolidated"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8" i="6" s="1"/>
  <c r="B10" i="6" s="1"/>
  <c r="B7" i="3"/>
  <c r="B8" i="3" s="1"/>
  <c r="B10" i="3" s="1"/>
  <c r="B19" i="3" s="1" a="1"/>
  <c r="B19" i="3" s="1"/>
  <c r="B2" i="1" s="1"/>
  <c r="P13" i="4"/>
  <c r="P13" i="2"/>
  <c r="X20" i="6" a="1"/>
  <c r="X20" i="6" s="1"/>
  <c r="Q18" i="4" a="1"/>
  <c r="Q18" i="4" s="1"/>
  <c r="Q18" i="2" a="1"/>
  <c r="Q18" i="2" s="1"/>
  <c r="B16" i="6"/>
  <c r="X4" i="6"/>
  <c r="X5" i="6"/>
  <c r="X6" i="6"/>
  <c r="X7" i="6"/>
  <c r="X8" i="6"/>
  <c r="X9" i="6"/>
  <c r="X10" i="6"/>
  <c r="X11" i="6"/>
  <c r="X12" i="6"/>
  <c r="X13" i="6"/>
  <c r="X14" i="6"/>
  <c r="M8" i="6" s="1"/>
  <c r="B7" i="1"/>
  <c r="M5" i="1"/>
  <c r="M6" i="1"/>
  <c r="M7" i="1"/>
  <c r="M8" i="1"/>
  <c r="B5" i="1" s="1"/>
  <c r="M9" i="1"/>
  <c r="M10" i="1"/>
  <c r="M11" i="1"/>
  <c r="M12" i="1"/>
  <c r="M13" i="1"/>
  <c r="M4" i="1"/>
  <c r="M3" i="1"/>
  <c r="B16" i="3"/>
  <c r="Q46" i="6"/>
  <c r="Q47" i="6" s="1"/>
  <c r="Q48" i="6" s="1"/>
  <c r="Q49" i="6" s="1"/>
  <c r="Q50" i="6" s="1"/>
  <c r="Q51" i="6" s="1"/>
  <c r="Q52" i="6" s="1"/>
  <c r="Q53" i="6" s="1"/>
  <c r="Q54" i="6" s="1"/>
  <c r="Q55" i="6" s="1"/>
  <c r="Q41" i="6"/>
  <c r="Q42" i="6" s="1"/>
  <c r="Q43" i="6" s="1"/>
  <c r="Q44" i="6" s="1"/>
  <c r="Q36" i="6"/>
  <c r="Q37" i="6" s="1"/>
  <c r="Q38" i="6" s="1"/>
  <c r="Q39" i="6" s="1"/>
  <c r="Q31" i="6"/>
  <c r="Q32" i="6" s="1"/>
  <c r="H76" i="6"/>
  <c r="F76" i="6"/>
  <c r="H75" i="6"/>
  <c r="H74" i="6"/>
  <c r="H73" i="6"/>
  <c r="H72" i="6"/>
  <c r="H71" i="6"/>
  <c r="H70" i="6"/>
  <c r="H69" i="6"/>
  <c r="H68" i="6"/>
  <c r="H67" i="6"/>
  <c r="H66" i="6"/>
  <c r="H65" i="6"/>
  <c r="H64" i="6"/>
  <c r="H63" i="6"/>
  <c r="H62" i="6"/>
  <c r="H61" i="6"/>
  <c r="H60" i="6"/>
  <c r="H59" i="6"/>
  <c r="H58" i="6"/>
  <c r="H57" i="6"/>
  <c r="H56" i="6"/>
  <c r="F56" i="6"/>
  <c r="H55" i="6"/>
  <c r="F55" i="6"/>
  <c r="H54" i="6"/>
  <c r="F54" i="6"/>
  <c r="H53" i="6"/>
  <c r="F53" i="6"/>
  <c r="H52" i="6"/>
  <c r="F52" i="6"/>
  <c r="H51" i="6"/>
  <c r="F51" i="6"/>
  <c r="H50" i="6"/>
  <c r="F50" i="6"/>
  <c r="H49" i="6"/>
  <c r="F49" i="6"/>
  <c r="H48" i="6"/>
  <c r="F48" i="6"/>
  <c r="H47" i="6"/>
  <c r="F47" i="6"/>
  <c r="H46" i="6"/>
  <c r="H45" i="6"/>
  <c r="F45" i="6"/>
  <c r="H44" i="6"/>
  <c r="F44" i="6"/>
  <c r="H43" i="6"/>
  <c r="F43" i="6"/>
  <c r="H42" i="6"/>
  <c r="F42" i="6"/>
  <c r="H41" i="6"/>
  <c r="F41" i="6"/>
  <c r="H40" i="6"/>
  <c r="F40" i="6"/>
  <c r="H39" i="6"/>
  <c r="F39" i="6"/>
  <c r="H38" i="6"/>
  <c r="F38" i="6"/>
  <c r="H37" i="6"/>
  <c r="F37" i="6"/>
  <c r="H36" i="6"/>
  <c r="H35" i="6"/>
  <c r="F35" i="6"/>
  <c r="H34" i="6"/>
  <c r="F34" i="6"/>
  <c r="H33" i="6"/>
  <c r="F33" i="6"/>
  <c r="H32" i="6"/>
  <c r="F32" i="6"/>
  <c r="H31" i="6"/>
  <c r="F31" i="6"/>
  <c r="H30" i="6"/>
  <c r="F30" i="6"/>
  <c r="H29" i="6"/>
  <c r="F29" i="6"/>
  <c r="H28" i="6"/>
  <c r="F28" i="6"/>
  <c r="H27" i="6"/>
  <c r="F27" i="6"/>
  <c r="H26" i="6"/>
  <c r="H25" i="6"/>
  <c r="F25" i="6"/>
  <c r="H24" i="6"/>
  <c r="F24" i="6"/>
  <c r="H23" i="6"/>
  <c r="F23" i="6"/>
  <c r="H22" i="6"/>
  <c r="F22" i="6"/>
  <c r="H21" i="6"/>
  <c r="F21" i="6"/>
  <c r="H20" i="6"/>
  <c r="F20" i="6"/>
  <c r="H19" i="6"/>
  <c r="H18" i="6"/>
  <c r="F18" i="6"/>
  <c r="H17" i="6"/>
  <c r="F17" i="6"/>
  <c r="H16" i="6"/>
  <c r="F16" i="6"/>
  <c r="H15" i="6"/>
  <c r="F15" i="6"/>
  <c r="H14" i="6"/>
  <c r="H13" i="6"/>
  <c r="F13" i="6"/>
  <c r="H12" i="6"/>
  <c r="F12" i="6"/>
  <c r="H11" i="6"/>
  <c r="F11" i="6"/>
  <c r="H10" i="6"/>
  <c r="H9" i="6"/>
  <c r="F9" i="6"/>
  <c r="H8" i="6"/>
  <c r="F8" i="6"/>
  <c r="H7" i="6"/>
  <c r="H6" i="6"/>
  <c r="F6" i="6"/>
  <c r="H5" i="6"/>
  <c r="H20" i="4"/>
  <c r="C22" i="4" s="1"/>
  <c r="F22" i="4" s="1"/>
  <c r="F23" i="4" s="1"/>
  <c r="I15" i="4"/>
  <c r="H23" i="4" s="1"/>
  <c r="D18" i="4"/>
  <c r="D16" i="4"/>
  <c r="J23" i="4" s="1"/>
  <c r="D18" i="2"/>
  <c r="H20" i="2"/>
  <c r="I15" i="2"/>
  <c r="D16" i="2"/>
  <c r="F44" i="1"/>
  <c r="F45" i="1" s="1"/>
  <c r="F46" i="1" s="1"/>
  <c r="F47" i="1" s="1"/>
  <c r="F48" i="1" s="1"/>
  <c r="F49" i="1" s="1"/>
  <c r="F50" i="1" s="1"/>
  <c r="F51" i="1" s="1"/>
  <c r="F52" i="1" s="1"/>
  <c r="F53" i="1" s="1"/>
  <c r="F39" i="1"/>
  <c r="F40" i="1" s="1"/>
  <c r="F41" i="1" s="1"/>
  <c r="F42" i="1" s="1"/>
  <c r="F34" i="1"/>
  <c r="F35" i="1" s="1"/>
  <c r="F36" i="1" s="1"/>
  <c r="F37" i="1" s="1"/>
  <c r="F29" i="1"/>
  <c r="F76" i="3"/>
  <c r="H75" i="3"/>
  <c r="H47" i="3"/>
  <c r="H48" i="3"/>
  <c r="H49" i="3"/>
  <c r="H50" i="3"/>
  <c r="H51" i="3"/>
  <c r="H52" i="3"/>
  <c r="H53" i="3"/>
  <c r="H54" i="3"/>
  <c r="H55" i="3"/>
  <c r="H56" i="3"/>
  <c r="H44" i="3"/>
  <c r="H45" i="3"/>
  <c r="H43" i="3"/>
  <c r="H42" i="3"/>
  <c r="H41" i="3"/>
  <c r="H40" i="3"/>
  <c r="H39" i="3"/>
  <c r="H38" i="3"/>
  <c r="H37" i="3"/>
  <c r="F56" i="3"/>
  <c r="F55" i="3"/>
  <c r="F54" i="3"/>
  <c r="F53" i="3"/>
  <c r="F52" i="3"/>
  <c r="F51" i="3"/>
  <c r="F50" i="3"/>
  <c r="F49" i="3"/>
  <c r="F48" i="3"/>
  <c r="F47" i="3"/>
  <c r="F45" i="3"/>
  <c r="F44" i="3"/>
  <c r="F43" i="3"/>
  <c r="F42" i="3"/>
  <c r="F41" i="3"/>
  <c r="F40" i="3"/>
  <c r="F39" i="3"/>
  <c r="F38" i="3"/>
  <c r="F37" i="3"/>
  <c r="H27" i="3"/>
  <c r="H28" i="3"/>
  <c r="H29" i="3"/>
  <c r="H30" i="3"/>
  <c r="H31" i="3"/>
  <c r="H32" i="3"/>
  <c r="H33" i="3"/>
  <c r="H34" i="3"/>
  <c r="H35" i="3"/>
  <c r="F28" i="3"/>
  <c r="F29" i="3"/>
  <c r="F30" i="3"/>
  <c r="F31" i="3"/>
  <c r="F32" i="3"/>
  <c r="F33" i="3"/>
  <c r="F34" i="3"/>
  <c r="F35" i="3"/>
  <c r="F27" i="3"/>
  <c r="H10" i="3"/>
  <c r="H11" i="3"/>
  <c r="H12" i="3"/>
  <c r="H13" i="3"/>
  <c r="H14" i="3"/>
  <c r="H15" i="3"/>
  <c r="H16" i="3"/>
  <c r="H17" i="3"/>
  <c r="H18" i="3"/>
  <c r="H19" i="3"/>
  <c r="H20" i="3"/>
  <c r="H21" i="3"/>
  <c r="H22" i="3"/>
  <c r="H23" i="3"/>
  <c r="H24" i="3"/>
  <c r="H25" i="3"/>
  <c r="H8" i="3"/>
  <c r="H9" i="3"/>
  <c r="F25" i="3"/>
  <c r="F24" i="3"/>
  <c r="F23" i="3"/>
  <c r="F22" i="3"/>
  <c r="F21" i="3"/>
  <c r="F20" i="3"/>
  <c r="F18" i="3"/>
  <c r="F17" i="3"/>
  <c r="F16" i="3"/>
  <c r="F15" i="3"/>
  <c r="F13" i="3"/>
  <c r="F12" i="3"/>
  <c r="F11" i="3"/>
  <c r="F9" i="3"/>
  <c r="F8" i="3"/>
  <c r="H6" i="3"/>
  <c r="F6" i="3"/>
  <c r="M6" i="6" l="1"/>
  <c r="M9" i="6" s="1"/>
  <c r="AA21" i="6" s="1"/>
  <c r="B19" i="6" a="1"/>
  <c r="B19" i="6" s="1"/>
  <c r="M3" i="6" s="1"/>
  <c r="B8" i="1"/>
  <c r="P12" i="4" s="1"/>
  <c r="R12" i="4" s="1"/>
  <c r="O15" i="4" s="1"/>
  <c r="S15" i="4" s="1"/>
  <c r="Q33" i="6"/>
  <c r="Q34" i="6" s="1"/>
  <c r="L23" i="4"/>
  <c r="O16" i="4" s="1"/>
  <c r="F30" i="1"/>
  <c r="F31" i="1" s="1"/>
  <c r="F32" i="1" s="1"/>
  <c r="H76" i="3"/>
  <c r="H74" i="3"/>
  <c r="H73" i="3"/>
  <c r="H72" i="3"/>
  <c r="H71" i="3"/>
  <c r="H70" i="3"/>
  <c r="H69" i="3"/>
  <c r="H68" i="3"/>
  <c r="H67" i="3"/>
  <c r="H66" i="3"/>
  <c r="H65" i="3"/>
  <c r="H64" i="3"/>
  <c r="H63" i="3"/>
  <c r="H62" i="3"/>
  <c r="H61" i="3"/>
  <c r="H60" i="3"/>
  <c r="H59" i="3"/>
  <c r="H58" i="3"/>
  <c r="H57" i="3"/>
  <c r="H46" i="3"/>
  <c r="H36" i="3"/>
  <c r="H26" i="3"/>
  <c r="H7" i="3"/>
  <c r="H5" i="3"/>
  <c r="J23" i="2"/>
  <c r="H23" i="2"/>
  <c r="C22" i="2"/>
  <c r="F22" i="2" s="1"/>
  <c r="F23" i="2" s="1"/>
  <c r="S18" i="4" l="1"/>
  <c r="M11" i="6"/>
  <c r="M20" i="6" s="1"/>
  <c r="M24" i="6" s="1"/>
  <c r="M25" i="6" s="1"/>
  <c r="B10" i="1"/>
  <c r="B19" i="1" s="1"/>
  <c r="B23" i="1" s="1"/>
  <c r="B24" i="1" s="1"/>
  <c r="L23" i="2"/>
  <c r="O16" i="2" s="1"/>
  <c r="M14" i="6" l="1"/>
  <c r="M15" i="6" s="1"/>
  <c r="AA19" i="6" s="1"/>
  <c r="B13" i="1"/>
  <c r="B14" i="1" s="1"/>
  <c r="P12" i="2" s="1"/>
  <c r="R12" i="2" s="1"/>
  <c r="O15" i="2" s="1"/>
  <c r="S15" i="2" l="1"/>
  <c r="S1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<sst xmlns="http://schemas.openxmlformats.org/spreadsheetml/2006/main" count="229" uniqueCount="101">
  <si>
    <r>
      <t>Fan Power (</t>
    </r>
    <r>
      <rPr>
        <b/>
        <sz val="14"/>
        <color theme="1"/>
        <rFont val="Aptos Narrow"/>
        <family val="2"/>
        <scheme val="minor"/>
      </rPr>
      <t>CFM</t>
    </r>
    <r>
      <rPr>
        <sz val="14"/>
        <color theme="1"/>
        <rFont val="Aptos Narrow"/>
        <family val="2"/>
        <scheme val="minor"/>
      </rPr>
      <t>)</t>
    </r>
  </si>
  <si>
    <t>=</t>
  </si>
  <si>
    <r>
      <t xml:space="preserve">SQFT </t>
    </r>
    <r>
      <rPr>
        <sz val="14"/>
        <color theme="4" tint="-0.249977111117893"/>
        <rFont val="Aptos Narrow"/>
        <family val="2"/>
        <scheme val="minor"/>
      </rPr>
      <t>opening needed</t>
    </r>
  </si>
  <si>
    <r>
      <t>Desired Air Speed (</t>
    </r>
    <r>
      <rPr>
        <b/>
        <sz val="14"/>
        <color theme="1"/>
        <rFont val="Aptos Narrow"/>
        <family val="2"/>
        <scheme val="minor"/>
      </rPr>
      <t>FPM</t>
    </r>
    <r>
      <rPr>
        <sz val="14"/>
        <color theme="1"/>
        <rFont val="Aptos Narrow"/>
        <family val="2"/>
        <scheme val="minor"/>
      </rPr>
      <t>)</t>
    </r>
  </si>
  <si>
    <r>
      <rPr>
        <b/>
        <sz val="14"/>
        <color theme="4" tint="-0.249977111117893"/>
        <rFont val="Aptos Narrow"/>
        <family val="2"/>
        <scheme val="minor"/>
      </rPr>
      <t>SQFT</t>
    </r>
    <r>
      <rPr>
        <sz val="14"/>
        <color theme="4" tint="-0.249977111117893"/>
        <rFont val="Aptos Narrow"/>
        <family val="2"/>
        <scheme val="minor"/>
      </rPr>
      <t xml:space="preserve"> opening needed</t>
    </r>
  </si>
  <si>
    <t>x</t>
  </si>
  <si>
    <r>
      <t>Inches</t>
    </r>
    <r>
      <rPr>
        <sz val="14"/>
        <color rgb="FF660066"/>
        <rFont val="Aptos Narrow"/>
        <family val="2"/>
        <scheme val="minor"/>
      </rPr>
      <t xml:space="preserve"> of inlet opening</t>
    </r>
  </si>
  <si>
    <r>
      <t xml:space="preserve">SQFT </t>
    </r>
    <r>
      <rPr>
        <u/>
        <sz val="14"/>
        <color theme="4" tint="-0.249977111117893"/>
        <rFont val="Aptos Narrow"/>
        <family val="2"/>
        <scheme val="minor"/>
      </rPr>
      <t>opening needed</t>
    </r>
  </si>
  <si>
    <r>
      <t>Total Inlet Length (</t>
    </r>
    <r>
      <rPr>
        <b/>
        <sz val="14"/>
        <color theme="7" tint="-0.249977111117893"/>
        <rFont val="Aptos Narrow"/>
        <family val="2"/>
        <scheme val="minor"/>
      </rPr>
      <t>Feet</t>
    </r>
    <r>
      <rPr>
        <sz val="14"/>
        <color theme="7" tint="-0.249977111117893"/>
        <rFont val="Aptos Narrow"/>
        <family val="2"/>
        <scheme val="minor"/>
      </rPr>
      <t>)</t>
    </r>
  </si>
  <si>
    <t>Sides</t>
  </si>
  <si>
    <t>Inlets/room</t>
  </si>
  <si>
    <t>Maximum Opening, in</t>
  </si>
  <si>
    <t>Length</t>
  </si>
  <si>
    <t>/ 12</t>
  </si>
  <si>
    <t>ft</t>
  </si>
  <si>
    <t>Total Inlet Length, ft</t>
  </si>
  <si>
    <t xml:space="preserve">20 CFM/Farrowing Crate </t>
  </si>
  <si>
    <t>Fan Size</t>
  </si>
  <si>
    <t>CFM Output</t>
  </si>
  <si>
    <t>Custom CFM</t>
  </si>
  <si>
    <t>Minimum CFM/Pig</t>
  </si>
  <si>
    <t xml:space="preserve">Pig Wt </t>
  </si>
  <si>
    <t>Pounds</t>
  </si>
  <si>
    <t>Kg</t>
  </si>
  <si>
    <t>Number of Pigs</t>
  </si>
  <si>
    <t>Minimum Total CFM</t>
  </si>
  <si>
    <t>Pig Weight, lb</t>
  </si>
  <si>
    <t>Cold Weather</t>
  </si>
  <si>
    <t>Per pig</t>
  </si>
  <si>
    <t>Minimum CFM Needed</t>
  </si>
  <si>
    <t>Setting</t>
  </si>
  <si>
    <t>Output</t>
  </si>
  <si>
    <t>Fan</t>
  </si>
  <si>
    <t>Timer?</t>
  </si>
  <si>
    <t>Custom</t>
  </si>
  <si>
    <t>Fan CFM</t>
  </si>
  <si>
    <t>Fan Timer</t>
  </si>
  <si>
    <t>Fan % Needed</t>
  </si>
  <si>
    <t>Cycle Time in Seconds</t>
  </si>
  <si>
    <t>Time ON</t>
  </si>
  <si>
    <t>Time OFF</t>
  </si>
  <si>
    <t>Formula: Fan % x Cycle time (300 seconds)</t>
  </si>
  <si>
    <t>Calculated CFM</t>
  </si>
  <si>
    <t>Inlet Information</t>
  </si>
  <si>
    <t>Number of Inlets</t>
  </si>
  <si>
    <t>Sides/Inlet</t>
  </si>
  <si>
    <t>Variable Speed Fan</t>
  </si>
  <si>
    <t>Inlet Length, in</t>
  </si>
  <si>
    <t>Desired Air Speed, FPM</t>
  </si>
  <si>
    <t xml:space="preserve">Inlets open less than .5 inch can ice up in cold weather. Consider closing some inlets if the estimated opening is less than .5 inches. </t>
  </si>
  <si>
    <t>Farrowing</t>
  </si>
  <si>
    <t>Number of Crates</t>
  </si>
  <si>
    <t>Wean to Finish</t>
  </si>
  <si>
    <t>CFM Needed</t>
  </si>
  <si>
    <t>#Fans</t>
  </si>
  <si>
    <t xml:space="preserve"> Controller Fan Setting</t>
  </si>
  <si>
    <t xml:space="preserve"> Controler Fan Setting</t>
  </si>
  <si>
    <t>Minimum Ventilation CFMs</t>
  </si>
  <si>
    <t>Fan Power Setting</t>
  </si>
  <si>
    <t>Inlet Opening - Variable</t>
  </si>
  <si>
    <t>inlet Opening - Timer</t>
  </si>
  <si>
    <t>Data input</t>
  </si>
  <si>
    <t>Calculated Value</t>
  </si>
  <si>
    <t xml:space="preserve">In all sheets  the colored cells are either for data input or show calculated values. </t>
  </si>
  <si>
    <t xml:space="preserve">Data </t>
  </si>
  <si>
    <t>Data flows between sheets in the following order:</t>
  </si>
  <si>
    <t>There are 4 worksheets that are linked together.</t>
  </si>
  <si>
    <t>The "Consolidated" worksheet is an all in one option that is independent of the other sheets.</t>
  </si>
  <si>
    <t xml:space="preserve">Instructions: </t>
  </si>
  <si>
    <t xml:space="preserve">In the green cells fill in the number of pigs in the room or barn and the approximate average weight for wean to finish pigs or the number of farrowing crates in the room.                                         </t>
  </si>
  <si>
    <t>A custom fan size and corresponding cfms can be entered in columns J &amp; K and custom fan cfms for the standard size fans can be entered in column L.</t>
  </si>
  <si>
    <t xml:space="preserve">In the green cells to the left fill in the number of inlets, sides/inlet, inlet length and maximum opening                                         </t>
  </si>
  <si>
    <t>Enter the desired inlet air speed in cell P5 based on barn parameters</t>
  </si>
  <si>
    <t>In the green cells in column B fill in the fan size or sizes if two different size fans are used during minimum ventilations and indicate how many of each size fan are used in column C.</t>
  </si>
  <si>
    <t>Fan Diameter 1, in</t>
  </si>
  <si>
    <t>Fan Diameter 2, in</t>
  </si>
  <si>
    <t>Calculated Inlet Opening, Inches</t>
  </si>
  <si>
    <t>Fan output is impacted by many things. It is important the correct motor curve is used and that it is set correctly in the controller.</t>
  </si>
  <si>
    <t>seconds</t>
  </si>
  <si>
    <t>Building Integrity</t>
  </si>
  <si>
    <r>
      <t xml:space="preserve">Select a </t>
    </r>
    <r>
      <rPr>
        <b/>
        <sz val="11"/>
        <color theme="1"/>
        <rFont val="Arial"/>
        <family val="2"/>
      </rPr>
      <t>Building Integrity</t>
    </r>
    <r>
      <rPr>
        <sz val="11"/>
        <color theme="1"/>
        <rFont val="Arial"/>
        <family val="2"/>
      </rPr>
      <t xml:space="preserve"> status to adjust the inlet opening to compensate for infiltration.</t>
    </r>
  </si>
  <si>
    <t>Fan output is impacted by many things. It is important that  the correct motor curve is selected and is correctly set up in the controller.</t>
  </si>
  <si>
    <r>
      <rPr>
        <b/>
        <sz val="11"/>
        <color rgb="FF000000"/>
        <rFont val="Aptos Narrow"/>
        <family val="2"/>
        <scheme val="minor"/>
      </rPr>
      <t>Fan power</t>
    </r>
    <r>
      <rPr>
        <sz val="11"/>
        <color rgb="FF000000"/>
        <rFont val="Aptos Narrow"/>
        <family val="2"/>
        <scheme val="minor"/>
      </rPr>
      <t xml:space="preserve"> Is from the </t>
    </r>
    <r>
      <rPr>
        <b/>
        <sz val="11"/>
        <color rgb="FF000000"/>
        <rFont val="Aptos Narrow"/>
        <family val="2"/>
        <scheme val="minor"/>
      </rPr>
      <t>Fan Power Setting</t>
    </r>
    <r>
      <rPr>
        <sz val="11"/>
        <color rgb="FF000000"/>
        <rFont val="Aptos Narrow"/>
        <family val="2"/>
        <scheme val="minor"/>
      </rPr>
      <t xml:space="preserve"> sheet  </t>
    </r>
    <r>
      <rPr>
        <b/>
        <sz val="11"/>
        <color rgb="FF000000"/>
        <rFont val="Aptos Narrow"/>
        <family val="2"/>
        <scheme val="minor"/>
      </rPr>
      <t>Desired Air Speed</t>
    </r>
    <r>
      <rPr>
        <sz val="11"/>
        <color rgb="FF000000"/>
        <rFont val="Aptos Narrow"/>
        <family val="2"/>
        <scheme val="minor"/>
      </rPr>
      <t xml:space="preserve"> is dependant on building design with a target of 600-800fpm in modern WF barns     </t>
    </r>
  </si>
  <si>
    <r>
      <t>Inches</t>
    </r>
    <r>
      <rPr>
        <u/>
        <sz val="14"/>
        <color rgb="FF660066"/>
        <rFont val="Aptos Narrow"/>
        <family val="2"/>
        <scheme val="minor"/>
      </rPr>
      <t xml:space="preserve"> of inlet opening adjusted for integrity</t>
    </r>
  </si>
  <si>
    <t>Adjusted for Building Integrity</t>
  </si>
  <si>
    <t xml:space="preserve">The calculator assumes the fan is functioning at the stateted capacity, there is NO infiltration (air entering through gaps, holes, etc.) and that all the air is entering through the inlets unless adjusted for Building Integrity.                       </t>
  </si>
  <si>
    <r>
      <rPr>
        <b/>
        <sz val="11"/>
        <color rgb="FF000000"/>
        <rFont val="Aptos Narrow"/>
        <family val="2"/>
        <scheme val="minor"/>
      </rPr>
      <t>Desired Air Speed</t>
    </r>
    <r>
      <rPr>
        <sz val="11"/>
        <color rgb="FF000000"/>
        <rFont val="Aptos Narrow"/>
        <family val="2"/>
        <scheme val="minor"/>
      </rPr>
      <t xml:space="preserve"> is dependant on building design with a target of 600-800fpm in modern WF barns     </t>
    </r>
  </si>
  <si>
    <t>Pig Weight, kg</t>
  </si>
  <si>
    <t>Use only one.</t>
  </si>
  <si>
    <t xml:space="preserve">The calculator assumes the fan is functioning at the stated capacity, there is NO infiltration (air entering through gaps, holes, etc.) and that all the air is entering through the inlets.                       </t>
  </si>
  <si>
    <t>Desired Air Speed, fpm</t>
  </si>
  <si>
    <r>
      <t xml:space="preserve">Select a </t>
    </r>
    <r>
      <rPr>
        <b/>
        <sz val="12"/>
        <color theme="1"/>
        <rFont val="Arial"/>
        <family val="2"/>
      </rPr>
      <t>Building Integrity</t>
    </r>
    <r>
      <rPr>
        <sz val="12"/>
        <color theme="1"/>
        <rFont val="Arial"/>
        <family val="2"/>
      </rPr>
      <t xml:space="preserve"> status to adjust the inlet opening to compensate for infiltration.</t>
    </r>
  </si>
  <si>
    <t>This worksheet provides general guidelines for setting up minimum ventilation. In all cases inlet air speed and humidity should be monitored to ensure desired air quality is achieved.</t>
  </si>
  <si>
    <t>Goals:</t>
  </si>
  <si>
    <t>Humidty &lt;65%</t>
  </si>
  <si>
    <t>Air speed 600-800fpm</t>
  </si>
  <si>
    <r>
      <t xml:space="preserve">For systems without variable speed fans or in cases where the variable speed fan is oversized the </t>
    </r>
    <r>
      <rPr>
        <b/>
        <sz val="11"/>
        <color theme="1"/>
        <rFont val="Arial"/>
        <family val="2"/>
      </rPr>
      <t xml:space="preserve">Fan Timer </t>
    </r>
    <r>
      <rPr>
        <sz val="11"/>
        <color theme="1"/>
        <rFont val="Arial"/>
        <family val="2"/>
      </rPr>
      <t>calculates the run time based on a 300 second, 5 minute, cycle. Most controlers use 15 second increments. It is generally recommended to round up on run time.</t>
    </r>
  </si>
  <si>
    <t>To select between wean to finish or farrowing click the buttton in the yellow cell.</t>
  </si>
  <si>
    <r>
      <t>Inches</t>
    </r>
    <r>
      <rPr>
        <u/>
        <sz val="14"/>
        <color rgb="FF660066"/>
        <rFont val="Aptos Narrow"/>
        <family val="2"/>
        <scheme val="minor"/>
      </rPr>
      <t xml:space="preserve"> of inlet opening (theoretical)</t>
    </r>
  </si>
  <si>
    <t>.</t>
  </si>
  <si>
    <t>Perfect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</si>
</sst>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Aptos Narrow"/>
      <family val="2"/>
      <scheme val="minor"/>
    </font>
    <font>
      <b/>
      <sz val="11"/>
      <color theme="1"/>
      <name val="Aptos Narrow"/>
      <family val="2"/>
      <scheme val="minor"/>
    </font>
    <font>
      <sz val="14"/>
      <color theme="1"/>
      <name val="Aptos Narrow"/>
      <family val="2"/>
      <scheme val="minor"/>
    </font>
    <font>
      <b/>
      <sz val="14"/>
      <color theme="1"/>
      <name val="Aptos Narrow"/>
      <family val="2"/>
      <scheme val="minor"/>
    </font>
    <font>
      <b/>
      <sz val="14"/>
      <color theme="4" tint="-0.249977111117893"/>
      <name val="Aptos Narrow"/>
      <family val="2"/>
      <scheme val="minor"/>
    </font>
    <font>
      <sz val="14"/>
      <color theme="4" tint="-0.249977111117893"/>
      <name val="Aptos Narrow"/>
      <family val="2"/>
      <scheme val="minor"/>
    </font>
    <font>
      <sz val="11"/>
      <color rgb="FF000000"/>
      <name val="Aptos Narrow"/>
      <family val="2"/>
      <scheme val="minor"/>
    </font>
    <font>
      <b/>
      <sz val="11"/>
      <color rgb="FF000000"/>
      <name val="Aptos Narrow"/>
      <family val="2"/>
      <scheme val="minor"/>
    </font>
    <font>
      <b/>
      <sz val="14"/>
      <color rgb="FF660066"/>
      <name val="Aptos Narrow"/>
      <family val="2"/>
      <scheme val="minor"/>
    </font>
    <font>
      <sz val="14"/>
      <color rgb="FF660066"/>
      <name val="Aptos Narrow"/>
      <family val="2"/>
      <scheme val="minor"/>
    </font>
    <font>
      <b/>
      <u/>
      <sz val="14"/>
      <color theme="4" tint="-0.249977111117893"/>
      <name val="Aptos Narrow"/>
      <family val="2"/>
      <scheme val="minor"/>
    </font>
    <font>
      <u/>
      <sz val="14"/>
      <color theme="4" tint="-0.249977111117893"/>
      <name val="Aptos Narrow"/>
      <family val="2"/>
      <scheme val="minor"/>
    </font>
    <font>
      <sz val="14"/>
      <color theme="7" tint="-0.249977111117893"/>
      <name val="Aptos Narrow"/>
      <family val="2"/>
      <scheme val="minor"/>
    </font>
    <font>
      <b/>
      <sz val="14"/>
      <color theme="7" tint="-0.249977111117893"/>
      <name val="Aptos Narrow"/>
      <family val="2"/>
      <scheme val="minor"/>
    </font>
    <font>
      <b/>
      <sz val="14"/>
      <color rgb="FFC00000"/>
      <name val="Aptos Narrow"/>
      <family val="2"/>
      <scheme val="minor"/>
    </font>
    <font>
      <b/>
      <u/>
      <sz val="14"/>
      <color rgb="FF660066"/>
      <name val="Aptos Narrow"/>
      <family val="2"/>
      <scheme val="minor"/>
    </font>
    <font>
      <u/>
      <sz val="14"/>
      <color rgb="FF660066"/>
      <name val="Aptos Narrow"/>
      <family val="2"/>
      <scheme val="minor"/>
    </font>
    <font>
      <sz val="11"/>
      <color theme="9"/>
      <name val="Aptos Narrow"/>
      <family val="2"/>
      <scheme val="minor"/>
    </font>
    <font>
      <b/>
      <sz val="14"/>
      <color theme="9"/>
      <name val="Aptos Narrow"/>
      <family val="2"/>
      <scheme val="minor"/>
    </font>
    <font>
      <b/>
      <u/>
      <sz val="14"/>
      <color theme="1"/>
      <name val="Aptos Narrow"/>
      <family val="2"/>
      <scheme val="minor"/>
    </font>
    <font>
      <b/>
      <sz val="14"/>
      <color rgb="FF00B0F0"/>
      <name val="Aptos Narrow"/>
      <family val="2"/>
      <scheme val="minor"/>
    </font>
    <font>
      <sz val="14"/>
      <color theme="1"/>
      <name val="Calibri"/>
      <family val="2"/>
    </font>
    <font>
      <sz val="11"/>
      <color theme="1"/>
      <name val="Aptos Narrow"/>
      <family val="2"/>
      <scheme val="minor"/>
    </font>
    <font>
      <sz val="11"/>
      <color theme="0"/>
      <name val="Aptos Narrow"/>
      <family val="2"/>
      <scheme val="minor"/>
    </font>
    <font>
      <sz val="12"/>
      <color rgb="FF424D5B"/>
      <name val="Arial"/>
      <family val="2"/>
    </font>
    <font>
      <sz val="14"/>
      <color rgb="FF295A80"/>
      <name val="Calibri"/>
      <family val="2"/>
    </font>
    <font>
      <b/>
      <sz val="12"/>
      <color theme="1"/>
      <name val="Aptos Narrow"/>
      <family val="2"/>
      <scheme val="minor"/>
    </font>
    <font>
      <b/>
      <sz val="16"/>
      <color theme="1"/>
      <name val="Aptos Narrow"/>
      <family val="2"/>
      <scheme val="minor"/>
    </font>
    <font>
      <sz val="12"/>
      <color theme="1"/>
      <name val="Aptos Narrow"/>
      <family val="2"/>
      <scheme val="minor"/>
    </font>
    <font>
      <b/>
      <sz val="12"/>
      <color theme="1"/>
      <name val="Arial"/>
      <family val="2"/>
    </font>
    <font>
      <b/>
      <sz val="11"/>
      <color theme="1"/>
      <name val="Arial"/>
      <family val="2"/>
    </font>
    <font>
      <sz val="11"/>
      <color theme="1"/>
      <name val="Arial"/>
      <family val="2"/>
    </font>
    <font>
      <sz val="14"/>
      <color rgb="FF295A80"/>
      <name val="Arial"/>
      <family val="2"/>
    </font>
    <font>
      <sz val="18"/>
      <color rgb="FF295A80"/>
      <name val="Arial"/>
      <family val="2"/>
    </font>
    <font>
      <sz val="10"/>
      <name val="Arial"/>
      <family val="2"/>
    </font>
    <font>
      <sz val="11"/>
      <color rgb="FF000000"/>
      <name val="Aptos Narrow"/>
      <family val="2"/>
      <scheme val="minor"/>
    </font>
    <font>
      <sz val="11"/>
      <name val="Aptos Narrow"/>
      <family val="2"/>
      <scheme val="minor"/>
    </font>
    <font>
      <sz val="11"/>
      <color theme="0"/>
      <name val="Arial"/>
      <family val="2"/>
    </font>
    <font>
      <sz val="12"/>
      <color theme="1"/>
      <name val="Arial"/>
      <family val="2"/>
    </font>
    <font>
      <sz val="14"/>
      <color theme="1"/>
      <name val="Arial"/>
      <family val="2"/>
    </font>
    <font>
      <b/>
      <sz val="14"/>
      <color theme="1"/>
      <name val="Arial"/>
      <family val="2"/>
    </font>
    <font>
      <sz val="11"/>
      <name val="Arial"/>
      <family val="2"/>
    </font>
    <font>
      <b/>
      <sz val="9"/>
      <color theme="1"/>
      <name val="Arial"/>
      <family val="2"/>
    </font>
    <font>
      <b/>
      <sz val="14"/>
      <name val="Calibri"/>
      <family val="2"/>
    </font>
  </fonts>
  <fills count="9">
    <fill>
      <patternFill patternType="none"/>
    </fill>
    <fill>
      <patternFill patternType="gray125"/>
    </fill>
    <fill>
      <patternFill patternType="solid">
        <fgColor rgb="FFFF5050"/>
        <bgColor indexed="64"/>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58">
    <border>
      <left/>
      <right/>
      <top/>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indexed="64"/>
      </left>
      <right/>
      <top style="thick">
        <color indexed="64"/>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right/>
      <top/>
      <bottom style="thick">
        <color theme="9"/>
      </bottom>
      <diagonal/>
    </border>
    <border>
      <left style="thick">
        <color rgb="FFC00000"/>
      </left>
      <right style="thick">
        <color rgb="FFC00000"/>
      </right>
      <top style="thick">
        <color rgb="FFC00000"/>
      </top>
      <bottom style="thick">
        <color rgb="FFC00000"/>
      </bottom>
      <diagonal/>
    </border>
    <border>
      <left style="thick">
        <color rgb="FFC00000"/>
      </left>
      <right/>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thick">
        <color theme="9"/>
      </left>
      <right style="thick">
        <color theme="9"/>
      </right>
      <top style="thick">
        <color theme="9"/>
      </top>
      <bottom style="thick">
        <color theme="9"/>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thick">
        <color theme="9"/>
      </top>
      <bottom style="thick">
        <color indexed="64"/>
      </bottom>
      <diagonal/>
    </border>
    <border>
      <left style="thick">
        <color rgb="FF00B0F0"/>
      </left>
      <right style="thick">
        <color rgb="FF00B0F0"/>
      </right>
      <top style="thick">
        <color rgb="FF00B0F0"/>
      </top>
      <bottom style="thick">
        <color rgb="FF00B0F0"/>
      </bottom>
      <diagonal/>
    </border>
    <border>
      <left style="thick">
        <color rgb="FF00B0F0"/>
      </left>
      <right/>
      <top/>
      <bottom/>
      <diagonal/>
    </border>
    <border>
      <left/>
      <right/>
      <top style="thick">
        <color rgb="FF00B0F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rgb="FFC00000"/>
      </top>
      <bottom/>
      <diagonal/>
    </border>
    <border>
      <left/>
      <right/>
      <top/>
      <bottom style="thick">
        <color rgb="FFC00000"/>
      </bottom>
      <diagonal/>
    </border>
    <border>
      <left style="thick">
        <color rgb="FFC00000"/>
      </left>
      <right/>
      <top/>
      <bottom style="thick">
        <color rgb="FFC00000"/>
      </bottom>
      <diagonal/>
    </border>
    <border>
      <left style="thick">
        <color rgb="FFC00000"/>
      </left>
      <right/>
      <top style="thick">
        <color rgb="FFC00000"/>
      </top>
      <bottom/>
      <diagonal/>
    </border>
    <border>
      <left/>
      <right style="thick">
        <color rgb="FFC00000"/>
      </right>
      <top style="thick">
        <color rgb="FFC00000"/>
      </top>
      <bottom/>
      <diagonal/>
    </border>
    <border>
      <left/>
      <right style="thick">
        <color rgb="FFC00000"/>
      </right>
      <top/>
      <bottom/>
      <diagonal/>
    </border>
    <border>
      <left/>
      <right style="thick">
        <color rgb="FFC00000"/>
      </right>
      <top/>
      <bottom style="thick">
        <color rgb="FFC00000"/>
      </bottom>
      <diagonal/>
    </border>
    <border>
      <left/>
      <right/>
      <top style="thick">
        <color indexed="64"/>
      </top>
      <bottom/>
      <diagonal/>
    </border>
    <border>
      <left style="thick">
        <color indexed="64"/>
      </left>
      <right style="thick">
        <color rgb="FFC00000"/>
      </right>
      <top style="thick">
        <color indexed="64"/>
      </top>
      <bottom style="thick">
        <color indexed="64"/>
      </bottom>
      <diagonal/>
    </border>
    <border>
      <left style="thick">
        <color rgb="FFC00000"/>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rgb="FFFF0000"/>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top style="thick">
        <color indexed="64"/>
      </top>
      <bottom style="thick">
        <color indexed="64"/>
      </bottom>
      <diagonal/>
    </border>
  </borders>
  <cellStyleXfs count="2">
    <xf numFmtId="0" fontId="0" fillId="0" borderId="0"/>
    <xf numFmtId="9" fontId="22" fillId="0" borderId="0" applyFont="0" applyFill="0" applyBorder="0" applyAlignment="0" applyProtection="0"/>
  </cellStyleXfs>
  <cellXfs count="227">
    <xf numFmtId="0" fontId="0" fillId="0" borderId="0" xfId="0"/>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11" xfId="0" applyBorder="1"/>
    <xf numFmtId="0" fontId="14" fillId="0" borderId="0" xfId="0" applyFont="1" applyAlignment="1">
      <alignment horizontal="right" vertical="center"/>
    </xf>
    <xf numFmtId="0" fontId="0" fillId="0" borderId="13" xfId="0" applyBorder="1"/>
    <xf numFmtId="164" fontId="4" fillId="0" borderId="1" xfId="0" applyNumberFormat="1" applyFont="1" applyBorder="1" applyAlignment="1">
      <alignment horizontal="center" vertical="center"/>
    </xf>
    <xf numFmtId="0" fontId="17" fillId="0" borderId="0" xfId="0" applyFont="1"/>
    <xf numFmtId="0" fontId="18" fillId="0" borderId="0" xfId="0" applyFont="1" applyAlignment="1">
      <alignment horizontal="right" vertical="center"/>
    </xf>
    <xf numFmtId="0" fontId="13" fillId="0" borderId="0" xfId="0" applyFont="1" applyAlignment="1">
      <alignment horizontal="center" vertical="center"/>
    </xf>
    <xf numFmtId="0" fontId="0" fillId="0" borderId="21" xfId="0" applyBorder="1"/>
    <xf numFmtId="0" fontId="0" fillId="0" borderId="9" xfId="0" applyBorder="1"/>
    <xf numFmtId="0" fontId="0" fillId="0" borderId="23" xfId="0" applyBorder="1"/>
    <xf numFmtId="0" fontId="0" fillId="0" borderId="24" xfId="0" applyBorder="1"/>
    <xf numFmtId="0" fontId="20" fillId="0" borderId="0" xfId="0" applyFont="1"/>
    <xf numFmtId="0" fontId="21" fillId="0" borderId="0" xfId="0" applyFont="1"/>
    <xf numFmtId="0" fontId="2" fillId="0" borderId="0" xfId="0" applyFont="1" applyAlignment="1">
      <alignment horizontal="center"/>
    </xf>
    <xf numFmtId="0" fontId="2" fillId="0" borderId="0" xfId="0" applyFont="1"/>
    <xf numFmtId="0" fontId="14" fillId="0" borderId="0" xfId="0" applyFont="1" applyAlignment="1">
      <alignment horizontal="center"/>
    </xf>
    <xf numFmtId="0" fontId="18" fillId="0" borderId="0" xfId="0" applyFont="1" applyAlignment="1">
      <alignment horizontal="center"/>
    </xf>
    <xf numFmtId="0" fontId="13" fillId="0" borderId="0" xfId="0" applyFont="1"/>
    <xf numFmtId="0" fontId="12" fillId="0" borderId="0" xfId="0" applyFont="1"/>
    <xf numFmtId="16" fontId="24" fillId="0" borderId="0" xfId="0" applyNumberFormat="1" applyFont="1" applyAlignment="1">
      <alignment horizontal="left" vertical="top" wrapText="1" indent="1"/>
    </xf>
    <xf numFmtId="0" fontId="24" fillId="0" borderId="0" xfId="0" applyFont="1" applyAlignment="1">
      <alignment horizontal="left" vertical="top" wrapText="1" indent="1"/>
    </xf>
    <xf numFmtId="0" fontId="24" fillId="3" borderId="0" xfId="0" applyFont="1" applyFill="1" applyAlignment="1">
      <alignment horizontal="left" vertical="top" wrapText="1" indent="1"/>
    </xf>
    <xf numFmtId="2" fontId="0" fillId="0" borderId="0" xfId="0" applyNumberFormat="1"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wrapText="1"/>
    </xf>
    <xf numFmtId="9" fontId="0" fillId="0" borderId="0" xfId="0" applyNumberFormat="1"/>
    <xf numFmtId="0" fontId="1" fillId="6" borderId="0" xfId="0" applyFont="1" applyFill="1" applyAlignment="1">
      <alignment horizontal="center"/>
    </xf>
    <xf numFmtId="9" fontId="25" fillId="0" borderId="0" xfId="0" applyNumberFormat="1" applyFont="1" applyAlignment="1">
      <alignment horizontal="center" vertical="center" wrapText="1"/>
    </xf>
    <xf numFmtId="1" fontId="0" fillId="0" borderId="0" xfId="0" applyNumberFormat="1"/>
    <xf numFmtId="0" fontId="1" fillId="0" borderId="0" xfId="0" applyFont="1" applyAlignment="1">
      <alignment horizontal="center"/>
    </xf>
    <xf numFmtId="0" fontId="1" fillId="0" borderId="0" xfId="0" applyFont="1"/>
    <xf numFmtId="0" fontId="1" fillId="0" borderId="0" xfId="0" applyFont="1" applyAlignment="1">
      <alignment horizontal="right"/>
    </xf>
    <xf numFmtId="0" fontId="3" fillId="0" borderId="0" xfId="0" applyFont="1"/>
    <xf numFmtId="164" fontId="1" fillId="5" borderId="0" xfId="0" applyNumberFormat="1" applyFont="1" applyFill="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center" wrapText="1"/>
    </xf>
    <xf numFmtId="164" fontId="31" fillId="0" borderId="0" xfId="0" applyNumberFormat="1" applyFont="1" applyAlignment="1">
      <alignment horizontal="center"/>
    </xf>
    <xf numFmtId="2" fontId="31" fillId="0" borderId="0" xfId="0" applyNumberFormat="1" applyFont="1" applyAlignment="1">
      <alignment horizontal="center"/>
    </xf>
    <xf numFmtId="49" fontId="31" fillId="0" borderId="0" xfId="0" applyNumberFormat="1" applyFont="1" applyAlignment="1">
      <alignment horizontal="center"/>
    </xf>
    <xf numFmtId="0" fontId="31" fillId="0" borderId="0" xfId="0" applyFont="1" applyAlignment="1">
      <alignment horizontal="right"/>
    </xf>
    <xf numFmtId="0" fontId="30" fillId="6" borderId="0" xfId="0" applyFont="1" applyFill="1" applyAlignment="1">
      <alignment horizontal="center"/>
    </xf>
    <xf numFmtId="0" fontId="30" fillId="0" borderId="0" xfId="0" applyFont="1" applyAlignment="1">
      <alignment horizontal="center"/>
    </xf>
    <xf numFmtId="0" fontId="30" fillId="0" borderId="0" xfId="0" applyFont="1" applyAlignment="1">
      <alignment horizontal="right"/>
    </xf>
    <xf numFmtId="0" fontId="30" fillId="0" borderId="0" xfId="0" applyFont="1"/>
    <xf numFmtId="1" fontId="31" fillId="0" borderId="0" xfId="0" applyNumberFormat="1" applyFont="1"/>
    <xf numFmtId="9" fontId="32" fillId="0" borderId="0" xfId="0" applyNumberFormat="1" applyFont="1" applyAlignment="1">
      <alignment horizontal="center" vertical="center" wrapText="1"/>
    </xf>
    <xf numFmtId="9" fontId="32" fillId="0" borderId="0" xfId="0" applyNumberFormat="1" applyFont="1" applyAlignment="1">
      <alignment horizontal="right" vertical="center" wrapText="1"/>
    </xf>
    <xf numFmtId="0" fontId="33" fillId="0" borderId="0" xfId="0" applyFont="1" applyAlignment="1">
      <alignment horizontal="left" vertical="center" indent="1" readingOrder="1"/>
    </xf>
    <xf numFmtId="0" fontId="33" fillId="0" borderId="0" xfId="0" applyFont="1"/>
    <xf numFmtId="0" fontId="0" fillId="7" borderId="25" xfId="0" applyFill="1" applyBorder="1"/>
    <xf numFmtId="0" fontId="0" fillId="5" borderId="25" xfId="0" applyFill="1" applyBorder="1"/>
    <xf numFmtId="0" fontId="31" fillId="0" borderId="0" xfId="0" applyFont="1" applyAlignment="1">
      <alignment horizontal="left" vertical="top" wrapText="1"/>
    </xf>
    <xf numFmtId="0" fontId="30" fillId="8" borderId="0" xfId="0" applyFont="1" applyFill="1" applyAlignment="1">
      <alignment horizontal="center"/>
    </xf>
    <xf numFmtId="0" fontId="31" fillId="8" borderId="0" xfId="0" applyFont="1" applyFill="1" applyAlignment="1">
      <alignment horizontal="center"/>
    </xf>
    <xf numFmtId="0" fontId="31" fillId="8" borderId="0" xfId="0" applyFont="1" applyFill="1"/>
    <xf numFmtId="1" fontId="31" fillId="0" borderId="0" xfId="0" applyNumberFormat="1" applyFont="1" applyAlignment="1">
      <alignment horizontal="center"/>
    </xf>
    <xf numFmtId="0" fontId="1" fillId="0" borderId="39" xfId="0" applyFont="1" applyBorder="1" applyAlignment="1">
      <alignment horizontal="right"/>
    </xf>
    <xf numFmtId="9" fontId="36" fillId="0" borderId="0" xfId="1" applyFont="1"/>
    <xf numFmtId="0" fontId="35" fillId="0" borderId="0" xfId="0" applyFont="1" applyAlignment="1">
      <alignment vertical="center" wrapText="1"/>
    </xf>
    <xf numFmtId="0" fontId="0" fillId="0" borderId="0" xfId="0" applyAlignment="1">
      <alignment vertical="center" wrapText="1"/>
    </xf>
    <xf numFmtId="0" fontId="31" fillId="0" borderId="45" xfId="0" applyFont="1" applyBorder="1" applyAlignment="1">
      <alignment horizontal="center"/>
    </xf>
    <xf numFmtId="0" fontId="31" fillId="0" borderId="46" xfId="0" applyFont="1" applyBorder="1" applyAlignment="1">
      <alignment horizontal="center"/>
    </xf>
    <xf numFmtId="0" fontId="31" fillId="0" borderId="44" xfId="0" applyFont="1" applyBorder="1" applyAlignment="1">
      <alignment horizontal="center"/>
    </xf>
    <xf numFmtId="0" fontId="31" fillId="0" borderId="47" xfId="0" applyFont="1" applyBorder="1" applyAlignment="1">
      <alignment horizontal="center"/>
    </xf>
    <xf numFmtId="0" fontId="31" fillId="0" borderId="48" xfId="0" applyFont="1" applyBorder="1" applyAlignment="1">
      <alignment horizontal="center"/>
    </xf>
    <xf numFmtId="0" fontId="31" fillId="0" borderId="49" xfId="0" applyFont="1" applyBorder="1" applyAlignment="1">
      <alignment horizontal="center"/>
    </xf>
    <xf numFmtId="0" fontId="37" fillId="0" borderId="46" xfId="0" applyFont="1" applyBorder="1" applyAlignment="1">
      <alignment horizontal="center"/>
    </xf>
    <xf numFmtId="49" fontId="31" fillId="0" borderId="48" xfId="0" applyNumberFormat="1" applyFont="1" applyBorder="1" applyAlignment="1">
      <alignment horizontal="center"/>
    </xf>
    <xf numFmtId="0" fontId="30" fillId="7" borderId="25" xfId="0" applyFont="1" applyFill="1" applyBorder="1" applyAlignment="1" applyProtection="1">
      <alignment horizontal="center"/>
      <protection locked="0"/>
    </xf>
    <xf numFmtId="0" fontId="30" fillId="7" borderId="43" xfId="0" applyFont="1" applyFill="1" applyBorder="1" applyAlignment="1" applyProtection="1">
      <alignment horizontal="center"/>
      <protection locked="0"/>
    </xf>
    <xf numFmtId="0" fontId="30" fillId="7" borderId="25" xfId="0" applyFont="1" applyFill="1" applyBorder="1" applyProtection="1">
      <protection locked="0"/>
    </xf>
    <xf numFmtId="0" fontId="3" fillId="5" borderId="25" xfId="0" applyFont="1" applyFill="1" applyBorder="1" applyAlignment="1">
      <alignment horizontal="center"/>
    </xf>
    <xf numFmtId="0" fontId="3" fillId="5" borderId="25" xfId="0" applyFont="1" applyFill="1" applyBorder="1" applyAlignment="1">
      <alignment horizontal="center" vertical="center"/>
    </xf>
    <xf numFmtId="0" fontId="14" fillId="0" borderId="12" xfId="0" applyFont="1" applyBorder="1" applyAlignment="1">
      <alignment horizontal="center"/>
    </xf>
    <xf numFmtId="0" fontId="18" fillId="0" borderId="17" xfId="0" applyFont="1" applyBorder="1" applyAlignment="1">
      <alignment horizontal="center"/>
    </xf>
    <xf numFmtId="0" fontId="19" fillId="0" borderId="8" xfId="0" applyFont="1" applyBorder="1" applyAlignment="1">
      <alignment horizontal="center"/>
    </xf>
    <xf numFmtId="9" fontId="23" fillId="0" borderId="0" xfId="1" applyFont="1" applyProtection="1"/>
    <xf numFmtId="0" fontId="20" fillId="0" borderId="22" xfId="0" applyFont="1" applyBorder="1" applyAlignment="1">
      <alignment horizontal="center"/>
    </xf>
    <xf numFmtId="0" fontId="31" fillId="0" borderId="0" xfId="0" applyFont="1" applyAlignment="1">
      <alignment vertical="top" wrapText="1"/>
    </xf>
    <xf numFmtId="0" fontId="26" fillId="7" borderId="25" xfId="0" applyFont="1" applyFill="1" applyBorder="1" applyAlignment="1" applyProtection="1">
      <alignment horizontal="center"/>
      <protection locked="0"/>
    </xf>
    <xf numFmtId="0" fontId="1" fillId="7" borderId="25" xfId="0" applyFont="1" applyFill="1" applyBorder="1" applyAlignment="1" applyProtection="1">
      <alignment horizontal="center"/>
      <protection locked="0"/>
    </xf>
    <xf numFmtId="0" fontId="1" fillId="7" borderId="0" xfId="0" applyFont="1" applyFill="1" applyAlignment="1" applyProtection="1">
      <alignment horizontal="center"/>
      <protection locked="0"/>
    </xf>
    <xf numFmtId="0" fontId="0" fillId="0" borderId="0" xfId="0" applyAlignment="1">
      <alignment vertical="top"/>
    </xf>
    <xf numFmtId="0" fontId="0" fillId="0" borderId="53" xfId="0" applyBorder="1" applyAlignment="1">
      <alignment vertical="top"/>
    </xf>
    <xf numFmtId="0" fontId="31" fillId="4" borderId="0" xfId="0" applyFont="1" applyFill="1" applyProtection="1">
      <protection locked="0"/>
    </xf>
    <xf numFmtId="1" fontId="0" fillId="5" borderId="0" xfId="0" applyNumberFormat="1" applyFill="1"/>
    <xf numFmtId="1" fontId="3" fillId="5" borderId="25" xfId="0" applyNumberFormat="1" applyFont="1" applyFill="1" applyBorder="1" applyAlignment="1">
      <alignment horizontal="center"/>
    </xf>
    <xf numFmtId="0" fontId="0" fillId="0" borderId="0" xfId="0" applyAlignment="1">
      <alignment horizontal="center" vertical="center"/>
    </xf>
    <xf numFmtId="0" fontId="28" fillId="0" borderId="52" xfId="0" applyFont="1" applyBorder="1" applyAlignment="1">
      <alignment horizontal="left" vertical="top" wrapText="1"/>
    </xf>
    <xf numFmtId="0" fontId="28" fillId="0" borderId="50" xfId="0" applyFont="1" applyBorder="1" applyAlignment="1">
      <alignment horizontal="left" vertical="top" wrapText="1"/>
    </xf>
    <xf numFmtId="0" fontId="28" fillId="0" borderId="55" xfId="0" applyFont="1" applyBorder="1" applyAlignment="1">
      <alignment horizontal="left" vertical="top" wrapText="1"/>
    </xf>
    <xf numFmtId="0" fontId="28" fillId="0" borderId="53"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3" xfId="0" applyFont="1" applyBorder="1" applyAlignment="1">
      <alignment vertical="top"/>
    </xf>
    <xf numFmtId="0" fontId="28" fillId="0" borderId="0" xfId="0" applyFont="1" applyAlignment="1">
      <alignment vertical="top"/>
    </xf>
    <xf numFmtId="0" fontId="28" fillId="0" borderId="56" xfId="0" applyFont="1" applyBorder="1" applyAlignment="1">
      <alignment vertical="top"/>
    </xf>
    <xf numFmtId="0" fontId="28" fillId="0" borderId="54" xfId="0" applyFont="1" applyBorder="1" applyAlignment="1">
      <alignment vertical="top"/>
    </xf>
    <xf numFmtId="0" fontId="28" fillId="0" borderId="51" xfId="0" applyFont="1" applyBorder="1" applyAlignment="1">
      <alignment vertical="top"/>
    </xf>
    <xf numFmtId="0" fontId="29" fillId="0" borderId="0" xfId="0" applyFont="1" applyAlignment="1">
      <alignment horizontal="center"/>
    </xf>
    <xf numFmtId="0" fontId="31" fillId="8" borderId="0" xfId="0" applyFont="1" applyFill="1" applyAlignment="1">
      <alignment horizontal="left" vertical="top" wrapText="1"/>
    </xf>
    <xf numFmtId="0" fontId="42" fillId="8" borderId="0" xfId="0" applyFont="1" applyFill="1" applyAlignment="1">
      <alignment horizontal="center" vertical="center"/>
    </xf>
    <xf numFmtId="0" fontId="31" fillId="0" borderId="0" xfId="0" applyFont="1" applyAlignment="1">
      <alignment horizontal="center"/>
    </xf>
    <xf numFmtId="2" fontId="29" fillId="0" borderId="0" xfId="0" applyNumberFormat="1" applyFont="1" applyAlignment="1">
      <alignment horizontal="center"/>
    </xf>
    <xf numFmtId="0" fontId="31" fillId="0" borderId="45" xfId="0" applyFont="1" applyBorder="1" applyAlignment="1">
      <alignment horizontal="center"/>
    </xf>
    <xf numFmtId="0" fontId="31" fillId="0" borderId="46" xfId="0" applyFont="1" applyBorder="1" applyAlignment="1">
      <alignment horizontal="center"/>
    </xf>
    <xf numFmtId="0" fontId="30" fillId="6" borderId="0" xfId="0" applyFont="1" applyFill="1" applyAlignment="1">
      <alignment horizontal="center"/>
    </xf>
    <xf numFmtId="0" fontId="30" fillId="0" borderId="0" xfId="0" applyFont="1" applyAlignment="1">
      <alignment horizontal="center" wrapText="1"/>
    </xf>
    <xf numFmtId="0" fontId="34" fillId="0" borderId="35"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8" xfId="0" applyFont="1" applyBorder="1" applyAlignment="1">
      <alignment horizontal="center" vertical="center" wrapText="1"/>
    </xf>
    <xf numFmtId="0" fontId="3" fillId="0" borderId="8" xfId="0" applyFont="1" applyBorder="1" applyAlignment="1">
      <alignment horizontal="center"/>
    </xf>
    <xf numFmtId="0" fontId="3" fillId="0" borderId="42" xfId="0" applyFont="1" applyBorder="1" applyAlignment="1">
      <alignment horizontal="center"/>
    </xf>
    <xf numFmtId="0" fontId="3" fillId="0" borderId="0" xfId="0" applyFont="1" applyAlignment="1">
      <alignment horizontal="right" vertical="center"/>
    </xf>
    <xf numFmtId="0" fontId="20" fillId="0" borderId="0" xfId="0" applyFont="1" applyAlignment="1">
      <alignment horizontal="right" vertical="center"/>
    </xf>
    <xf numFmtId="0" fontId="1" fillId="2" borderId="0" xfId="0" applyFont="1" applyFill="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64" fontId="15" fillId="5" borderId="14" xfId="0" applyNumberFormat="1" applyFont="1" applyFill="1" applyBorder="1" applyAlignment="1">
      <alignment horizontal="center" vertical="center"/>
    </xf>
    <xf numFmtId="164" fontId="15" fillId="5" borderId="18" xfId="0" applyNumberFormat="1" applyFont="1" applyFill="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5" fillId="0" borderId="1" xfId="0" applyFont="1" applyBorder="1" applyAlignment="1">
      <alignment horizontal="center" vertical="center"/>
    </xf>
    <xf numFmtId="0" fontId="28" fillId="0" borderId="0" xfId="0" applyFont="1" applyAlignment="1">
      <alignment horizontal="right"/>
    </xf>
    <xf numFmtId="0" fontId="35"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horizontal="center" vertical="center" wrapText="1"/>
    </xf>
    <xf numFmtId="0" fontId="0" fillId="0" borderId="31" xfId="0"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vertical="center"/>
    </xf>
    <xf numFmtId="0" fontId="0" fillId="6" borderId="0" xfId="0" applyFill="1" applyAlignment="1">
      <alignment horizontal="left" vertical="center" wrapText="1"/>
    </xf>
    <xf numFmtId="0" fontId="39" fillId="0" borderId="35" xfId="0" applyFont="1" applyBorder="1" applyAlignment="1">
      <alignment horizontal="left" vertical="center" wrapText="1"/>
    </xf>
    <xf numFmtId="0" fontId="39" fillId="0" borderId="32" xfId="0" applyFont="1" applyBorder="1" applyAlignment="1">
      <alignment horizontal="left" vertical="center" wrapText="1"/>
    </xf>
    <xf numFmtId="0" fontId="39" fillId="0" borderId="36" xfId="0" applyFont="1" applyBorder="1" applyAlignment="1">
      <alignment horizontal="left" vertical="center" wrapText="1"/>
    </xf>
    <xf numFmtId="0" fontId="39" fillId="0" borderId="13" xfId="0" applyFont="1" applyBorder="1" applyAlignment="1">
      <alignment horizontal="left" vertical="center" wrapText="1"/>
    </xf>
    <xf numFmtId="0" fontId="39" fillId="0" borderId="0" xfId="0" applyFont="1" applyAlignment="1">
      <alignment horizontal="left" vertical="center" wrapText="1"/>
    </xf>
    <xf numFmtId="0" fontId="39" fillId="0" borderId="37" xfId="0" applyFont="1" applyBorder="1" applyAlignment="1">
      <alignment horizontal="left" vertical="center" wrapText="1"/>
    </xf>
    <xf numFmtId="0" fontId="39" fillId="0" borderId="34" xfId="0" applyFont="1" applyBorder="1" applyAlignment="1">
      <alignment horizontal="left" vertical="center" wrapText="1"/>
    </xf>
    <xf numFmtId="0" fontId="39" fillId="0" borderId="33" xfId="0" applyFont="1" applyBorder="1" applyAlignment="1">
      <alignment horizontal="left" vertical="center" wrapText="1"/>
    </xf>
    <xf numFmtId="0" fontId="39" fillId="0" borderId="38" xfId="0" applyFont="1" applyBorder="1" applyAlignment="1">
      <alignment horizontal="left" vertical="center" wrapText="1"/>
    </xf>
    <xf numFmtId="0" fontId="27" fillId="0" borderId="0" xfId="0" applyFont="1" applyAlignment="1">
      <alignment horizontal="center"/>
    </xf>
    <xf numFmtId="0" fontId="40" fillId="8" borderId="0" xfId="0" applyFont="1" applyFill="1" applyAlignment="1">
      <alignment horizontal="left"/>
    </xf>
    <xf numFmtId="0" fontId="38" fillId="8" borderId="0" xfId="0" applyFont="1" applyFill="1" applyAlignment="1">
      <alignment horizontal="left" vertical="top" wrapText="1"/>
    </xf>
    <xf numFmtId="0" fontId="38" fillId="8" borderId="0" xfId="0" applyFont="1" applyFill="1" applyAlignment="1">
      <alignment horizontal="left" vertical="center" wrapText="1"/>
    </xf>
    <xf numFmtId="0" fontId="8" fillId="0" borderId="0" xfId="0" applyFont="1" applyAlignment="1">
      <alignment horizontal="center" vertical="center"/>
    </xf>
    <xf numFmtId="0" fontId="2" fillId="0" borderId="0" xfId="0" applyFont="1" applyAlignment="1">
      <alignment horizontal="right"/>
    </xf>
    <xf numFmtId="164" fontId="10" fillId="0" borderId="0" xfId="0" applyNumberFormat="1" applyFont="1" applyAlignment="1">
      <alignment horizontal="center" vertical="center"/>
    </xf>
    <xf numFmtId="0" fontId="35"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xf>
    <xf numFmtId="0" fontId="1" fillId="6" borderId="0" xfId="0" applyFont="1" applyFill="1" applyAlignment="1">
      <alignment horizontal="center"/>
    </xf>
    <xf numFmtId="0" fontId="0" fillId="0" borderId="39" xfId="0" applyBorder="1" applyAlignment="1">
      <alignment horizontal="center"/>
    </xf>
    <xf numFmtId="0" fontId="3" fillId="0" borderId="10"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30" fillId="8" borderId="0" xfId="0" applyFont="1" applyFill="1" applyAlignment="1">
      <alignment horizontal="center"/>
    </xf>
    <xf numFmtId="0" fontId="29" fillId="0" borderId="8" xfId="0" applyFont="1" applyBorder="1" applyAlignment="1">
      <alignment horizontal="center"/>
    </xf>
    <xf numFmtId="0" fontId="29" fillId="0" borderId="42" xfId="0" applyFont="1" applyBorder="1" applyAlignment="1">
      <alignment horizontal="center"/>
    </xf>
    <xf numFmtId="0" fontId="41" fillId="0" borderId="35"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0" xfId="0" applyFont="1" applyAlignment="1">
      <alignment horizontal="center" vertical="center" wrapText="1"/>
    </xf>
    <xf numFmtId="0" fontId="41" fillId="0" borderId="37"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38" xfId="0" applyFont="1" applyBorder="1" applyAlignment="1">
      <alignment horizontal="center" vertical="center" wrapText="1"/>
    </xf>
    <xf numFmtId="0" fontId="30" fillId="8" borderId="0" xfId="0" applyFont="1" applyFill="1" applyAlignment="1">
      <alignment horizontal="left"/>
    </xf>
    <xf numFmtId="0" fontId="30" fillId="8" borderId="44" xfId="0" applyFont="1" applyFill="1" applyBorder="1" applyAlignment="1">
      <alignment horizontal="center" vertical="center"/>
    </xf>
    <xf numFmtId="0" fontId="30" fillId="8" borderId="0" xfId="0" applyFont="1" applyFill="1" applyAlignment="1">
      <alignment horizontal="center" vertical="center"/>
    </xf>
    <xf numFmtId="0" fontId="0" fillId="0" borderId="0" xfId="0" applyAlignment="1">
      <alignment horizontal="right"/>
    </xf>
    <xf numFmtId="0" fontId="1" fillId="0" borderId="0" xfId="0" applyFont="1" applyAlignment="1">
      <alignment horizontal="center" wrapText="1"/>
    </xf>
    <xf numFmtId="0" fontId="30" fillId="0" borderId="26" xfId="0" applyFont="1" applyBorder="1" applyAlignment="1">
      <alignment horizontal="center" wrapText="1"/>
    </xf>
    <xf numFmtId="0" fontId="3" fillId="0" borderId="0" xfId="0" applyFont="1" applyAlignment="1">
      <alignment horizontal="center"/>
    </xf>
    <xf numFmtId="0" fontId="31" fillId="0" borderId="35" xfId="0" applyFont="1" applyBorder="1" applyAlignment="1">
      <alignment horizontal="left" vertical="top" wrapText="1"/>
    </xf>
    <xf numFmtId="0" fontId="31" fillId="0" borderId="32" xfId="0" applyFont="1" applyBorder="1" applyAlignment="1">
      <alignment horizontal="left" vertical="top" wrapText="1"/>
    </xf>
    <xf numFmtId="0" fontId="31" fillId="0" borderId="36" xfId="0" applyFont="1" applyBorder="1" applyAlignment="1">
      <alignment horizontal="left" vertical="top" wrapText="1"/>
    </xf>
    <xf numFmtId="0" fontId="31" fillId="0" borderId="13" xfId="0" applyFont="1" applyBorder="1" applyAlignment="1">
      <alignment horizontal="left" vertical="top" wrapText="1"/>
    </xf>
    <xf numFmtId="0" fontId="31" fillId="0" borderId="0" xfId="0" applyFont="1" applyAlignment="1">
      <alignment horizontal="left" vertical="top" wrapText="1"/>
    </xf>
    <xf numFmtId="0" fontId="31" fillId="0" borderId="37" xfId="0" applyFont="1" applyBorder="1" applyAlignment="1">
      <alignment horizontal="left" vertical="top" wrapText="1"/>
    </xf>
    <xf numFmtId="0" fontId="31" fillId="0" borderId="34" xfId="0" applyFont="1" applyBorder="1" applyAlignment="1">
      <alignment horizontal="left" vertical="top" wrapText="1"/>
    </xf>
    <xf numFmtId="0" fontId="31" fillId="0" borderId="33" xfId="0" applyFont="1" applyBorder="1" applyAlignment="1">
      <alignment horizontal="left" vertical="top" wrapText="1"/>
    </xf>
    <xf numFmtId="0" fontId="31" fillId="0" borderId="38" xfId="0" applyFont="1" applyBorder="1" applyAlignment="1">
      <alignment horizontal="left" vertical="top" wrapText="1"/>
    </xf>
    <xf numFmtId="0" fontId="3" fillId="0" borderId="0" xfId="0" applyFont="1" applyAlignment="1">
      <alignment horizontal="right"/>
    </xf>
    <xf numFmtId="0" fontId="0" fillId="0" borderId="39" xfId="0" applyBorder="1" applyAlignment="1">
      <alignment horizontal="center" vertical="top"/>
    </xf>
    <xf numFmtId="0" fontId="3" fillId="0" borderId="57" xfId="0" applyFont="1" applyBorder="1" applyAlignment="1">
      <alignment horizontal="center"/>
    </xf>
    <xf numFmtId="9" fontId="43" fillId="0" borderId="0" xfId="0" applyNumberFormat="1" applyFont="1" applyAlignment="1">
      <alignment horizontal="right" vertical="center" wrapText="1"/>
    </xf>
    <xf numFmtId="0" fontId="0" fillId="6" borderId="0" xfId="0" applyFill="1" applyAlignment="1">
      <alignment horizontal="center" vertical="center" wrapText="1"/>
    </xf>
    <xf numFmtId="164" fontId="31" fillId="5" borderId="47" xfId="0" applyNumberFormat="1" applyFont="1" applyFill="1" applyBorder="1" applyAlignment="1" applyProtection="1">
      <alignment horizontal="center"/>
      <protection hidden="1"/>
    </xf>
    <xf numFmtId="0" fontId="31" fillId="5" borderId="47" xfId="0" applyFont="1" applyFill="1" applyBorder="1" applyAlignment="1" applyProtection="1">
      <alignment horizontal="center"/>
      <protection hidden="1"/>
    </xf>
    <xf numFmtId="0" fontId="31" fillId="5" borderId="0" xfId="0" applyFont="1" applyFill="1" applyAlignment="1" applyProtection="1">
      <alignment horizontal="center"/>
      <protection hidden="1"/>
    </xf>
    <xf numFmtId="164" fontId="0" fillId="5" borderId="0" xfId="0" applyNumberFormat="1" applyFill="1" applyAlignment="1" applyProtection="1">
      <alignment horizontal="center"/>
      <protection hidden="1"/>
    </xf>
    <xf numFmtId="0" fontId="0" fillId="5" borderId="0" xfId="0" applyFill="1" applyAlignment="1" applyProtection="1">
      <alignment horizontal="center"/>
      <protection hidden="1"/>
    </xf>
    <xf numFmtId="0" fontId="0" fillId="5" borderId="0" xfId="0" applyFill="1" applyProtection="1">
      <protection hidden="1"/>
    </xf>
    <xf numFmtId="0" fontId="31" fillId="5" borderId="0" xfId="0" applyFont="1" applyFill="1" applyProtection="1">
      <protection hidden="1"/>
    </xf>
    <xf numFmtId="0" fontId="0" fillId="5" borderId="39" xfId="0" applyFill="1" applyBorder="1" applyProtection="1">
      <protection hidden="1"/>
    </xf>
    <xf numFmtId="1" fontId="0" fillId="5" borderId="0" xfId="1" applyNumberFormat="1" applyFont="1" applyFill="1" applyProtection="1">
      <protection hidden="1"/>
    </xf>
    <xf numFmtId="1" fontId="31" fillId="5" borderId="0" xfId="0" applyNumberFormat="1" applyFont="1" applyFill="1" applyProtection="1">
      <protection hidden="1"/>
    </xf>
    <xf numFmtId="1" fontId="31" fillId="5" borderId="0" xfId="1" applyNumberFormat="1" applyFont="1" applyFill="1" applyProtection="1">
      <protection hidden="1"/>
    </xf>
    <xf numFmtId="0" fontId="23" fillId="0" borderId="0" xfId="0" applyFont="1" applyProtection="1">
      <protection locked="0" hidden="1"/>
    </xf>
    <xf numFmtId="2" fontId="29" fillId="0" borderId="8" xfId="0" applyNumberFormat="1" applyFont="1" applyBorder="1" applyAlignment="1" applyProtection="1">
      <alignment horizontal="center"/>
    </xf>
    <xf numFmtId="2" fontId="29" fillId="0" borderId="42" xfId="0" applyNumberFormat="1" applyFont="1" applyBorder="1" applyAlignment="1" applyProtection="1">
      <alignment horizontal="center"/>
    </xf>
    <xf numFmtId="0" fontId="31" fillId="0" borderId="0" xfId="0" applyFont="1" applyProtection="1">
      <protection locked="0"/>
    </xf>
  </cellXfs>
  <cellStyles count="2">
    <cellStyle name="Normal" xfId="0" builtinId="0"/>
    <cellStyle name="Percent" xfId="1" builtinId="5"/>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gradientFill degree="90">
          <stop position="0">
            <color theme="0"/>
          </stop>
          <stop position="1">
            <color rgb="FFFF0000"/>
          </stop>
        </gradientFill>
      </fill>
    </dxf>
    <dxf>
      <fill>
        <gradientFill degree="270">
          <stop position="0">
            <color theme="0"/>
          </stop>
          <stop position="1">
            <color rgb="FFFF0000"/>
          </stop>
        </gradientFill>
      </fill>
    </dxf>
    <dxf>
      <fill>
        <patternFill>
          <bgColor rgb="FFFF0000"/>
        </patternFill>
      </fill>
    </dxf>
    <dxf>
      <font>
        <color rgb="FF9C0006"/>
      </font>
      <fill>
        <patternFill>
          <bgColor rgb="FFFFC7CE"/>
        </patternFill>
      </fill>
    </dxf>
    <dxf>
      <fill>
        <gradientFill degree="90">
          <stop position="0">
            <color theme="0"/>
          </stop>
          <stop position="1">
            <color rgb="FFFF0000"/>
          </stop>
        </gradientFill>
      </fill>
    </dxf>
    <dxf>
      <fill>
        <gradientFill degree="270">
          <stop position="0">
            <color theme="0"/>
          </stop>
          <stop position="1">
            <color rgb="FFFF0000"/>
          </stop>
        </gradientFill>
      </fill>
    </dxf>
    <dxf>
      <fill>
        <patternFill>
          <bgColor rgb="FFFF0000"/>
        </patternFill>
      </fill>
    </dxf>
    <dxf>
      <fill>
        <gradientFill degree="90">
          <stop position="0">
            <color theme="0"/>
          </stop>
          <stop position="1">
            <color rgb="FFFF0000"/>
          </stop>
        </gradientFill>
      </fill>
    </dxf>
    <dxf>
      <fill>
        <gradientFill degree="270">
          <stop position="0">
            <color theme="0"/>
          </stop>
          <stop position="1">
            <color rgb="FFFF0000"/>
          </stop>
        </gradientFill>
      </fill>
    </dxf>
    <dxf>
      <fill>
        <patternFill>
          <bgColor rgb="FFFF0000"/>
        </patternFill>
      </fill>
    </dxf>
    <dxf>
      <font>
        <color rgb="FF9C0006"/>
      </font>
      <fill>
        <patternFill>
          <bgColor rgb="FFFFC7CE"/>
        </patternFill>
      </fill>
    </dxf>
    <dxf>
      <fill>
        <gradientFill degree="90">
          <stop position="0">
            <color theme="0"/>
          </stop>
          <stop position="1">
            <color rgb="FFFF0000"/>
          </stop>
        </gradientFill>
      </fill>
    </dxf>
    <dxf>
      <fill>
        <gradientFill degree="270">
          <stop position="0">
            <color theme="0"/>
          </stop>
          <stop position="1">
            <color rgb="FFFF0000"/>
          </stop>
        </gradient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W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firstButton="1" fmlaLink="AF1"/>
</file>

<file path=xl/ctrlProps/ctrlProp4.xml><?xml version="1.0" encoding="utf-8"?>
<formControlPr xmlns="http://schemas.microsoft.com/office/spreadsheetml/2009/9/main" objectType="Radio"/>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47625</xdr:colOff>
      <xdr:row>0</xdr:row>
      <xdr:rowOff>0</xdr:rowOff>
    </xdr:from>
    <xdr:to>
      <xdr:col>20</xdr:col>
      <xdr:colOff>64770</xdr:colOff>
      <xdr:row>8</xdr:row>
      <xdr:rowOff>89535</xdr:rowOff>
    </xdr:to>
    <xdr:pic>
      <xdr:nvPicPr>
        <xdr:cNvPr id="3" name="Picture 1">
          <a:extLst>
            <a:ext uri="{FF2B5EF4-FFF2-40B4-BE49-F238E27FC236}">
              <a16:creationId xmlns:a16="http://schemas.microsoft.com/office/drawing/2014/main" id="{BD756048-1958-9A02-61F0-D06FA5C3C9FE}"/>
            </a:ext>
          </a:extLst>
        </xdr:cNvPr>
        <xdr:cNvPicPr>
          <a:picLocks noChangeAspect="1"/>
        </xdr:cNvPicPr>
      </xdr:nvPicPr>
      <xdr:blipFill>
        <a:blip xmlns:r="http://schemas.openxmlformats.org/officeDocument/2006/relationships" r:embed="rId1"/>
        <a:stretch>
          <a:fillRect/>
        </a:stretch>
      </xdr:blipFill>
      <xdr:spPr>
        <a:xfrm>
          <a:off x="11020425" y="0"/>
          <a:ext cx="1238250" cy="1781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400050</xdr:colOff>
      <xdr:row>0</xdr:row>
      <xdr:rowOff>0</xdr:rowOff>
    </xdr:from>
    <xdr:to>
      <xdr:col>14</xdr:col>
      <xdr:colOff>39761</xdr:colOff>
      <xdr:row>31</xdr:row>
      <xdr:rowOff>117295</xdr:rowOff>
    </xdr:to>
    <xdr:pic>
      <xdr:nvPicPr>
        <xdr:cNvPr id="3" name="Picture 2" descr="Search in sidebar query">
          <a:extLst>
            <a:ext uri="{FF2B5EF4-FFF2-40B4-BE49-F238E27FC236}">
              <a16:creationId xmlns:a16="http://schemas.microsoft.com/office/drawing/2014/main" id="{89C9D27A-E2AA-7515-2A4E-D7FDE774C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0"/>
          <a:ext cx="3083951" cy="585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65315</xdr:colOff>
      <xdr:row>12</xdr:row>
      <xdr:rowOff>195942</xdr:rowOff>
    </xdr:from>
    <xdr:to>
      <xdr:col>20</xdr:col>
      <xdr:colOff>73251</xdr:colOff>
      <xdr:row>16</xdr:row>
      <xdr:rowOff>42235</xdr:rowOff>
    </xdr:to>
    <xdr:pic>
      <xdr:nvPicPr>
        <xdr:cNvPr id="2" name="Picture 1">
          <a:extLst>
            <a:ext uri="{FF2B5EF4-FFF2-40B4-BE49-F238E27FC236}">
              <a16:creationId xmlns:a16="http://schemas.microsoft.com/office/drawing/2014/main" id="{66FDC884-C17C-8B91-5BC7-C61C1CF103BA}"/>
            </a:ext>
          </a:extLst>
        </xdr:cNvPr>
        <xdr:cNvPicPr>
          <a:picLocks noChangeAspect="1"/>
        </xdr:cNvPicPr>
      </xdr:nvPicPr>
      <xdr:blipFill>
        <a:blip xmlns:r="http://schemas.openxmlformats.org/officeDocument/2006/relationships" r:embed="rId2"/>
        <a:stretch>
          <a:fillRect/>
        </a:stretch>
      </xdr:blipFill>
      <xdr:spPr>
        <a:xfrm>
          <a:off x="5954486" y="2514599"/>
          <a:ext cx="3646486" cy="6287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381000</xdr:colOff>
          <xdr:row>0</xdr:row>
          <xdr:rowOff>0</xdr:rowOff>
        </xdr:from>
        <xdr:to>
          <xdr:col>2</xdr:col>
          <xdr:colOff>758190</xdr:colOff>
          <xdr:row>1</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11</xdr:row>
          <xdr:rowOff>9525</xdr:rowOff>
        </xdr:from>
        <xdr:to>
          <xdr:col>2</xdr:col>
          <xdr:colOff>685800</xdr:colOff>
          <xdr:row>12</xdr:row>
          <xdr:rowOff>34290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0</xdr:colOff>
      <xdr:row>0</xdr:row>
      <xdr:rowOff>0</xdr:rowOff>
    </xdr:from>
    <xdr:to>
      <xdr:col>24</xdr:col>
      <xdr:colOff>188249</xdr:colOff>
      <xdr:row>9</xdr:row>
      <xdr:rowOff>72390</xdr:rowOff>
    </xdr:to>
    <xdr:pic>
      <xdr:nvPicPr>
        <xdr:cNvPr id="5" name="Picture 1">
          <a:extLst>
            <a:ext uri="{FF2B5EF4-FFF2-40B4-BE49-F238E27FC236}">
              <a16:creationId xmlns:a16="http://schemas.microsoft.com/office/drawing/2014/main" id="{45AF1CB1-04B5-4710-BD43-65FA150B87D9}"/>
            </a:ext>
            <a:ext uri="{147F2762-F138-4A5C-976F-8EAC2B608ADB}">
              <a16:predDERef xmlns:a16="http://schemas.microsoft.com/office/drawing/2014/main" pred="{00000000-0008-0000-0100-000008040000}"/>
            </a:ext>
          </a:extLst>
        </xdr:cNvPr>
        <xdr:cNvPicPr>
          <a:picLocks noChangeAspect="1"/>
        </xdr:cNvPicPr>
      </xdr:nvPicPr>
      <xdr:blipFill>
        <a:blip xmlns:r="http://schemas.openxmlformats.org/officeDocument/2006/relationships" r:embed="rId3"/>
        <a:stretch>
          <a:fillRect/>
        </a:stretch>
      </xdr:blipFill>
      <xdr:spPr>
        <a:xfrm>
          <a:off x="10962409" y="0"/>
          <a:ext cx="1244658" cy="1786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9526</xdr:colOff>
      <xdr:row>14</xdr:row>
      <xdr:rowOff>180090</xdr:rowOff>
    </xdr:from>
    <xdr:to>
      <xdr:col>18</xdr:col>
      <xdr:colOff>34291</xdr:colOff>
      <xdr:row>36</xdr:row>
      <xdr:rowOff>41978</xdr:rowOff>
    </xdr:to>
    <xdr:pic>
      <xdr:nvPicPr>
        <xdr:cNvPr id="3" name="Picture 2">
          <a:extLst>
            <a:ext uri="{FF2B5EF4-FFF2-40B4-BE49-F238E27FC236}">
              <a16:creationId xmlns:a16="http://schemas.microsoft.com/office/drawing/2014/main" id="{D9D7325A-77B6-D088-9D11-EA0892347FD2}"/>
            </a:ext>
          </a:extLst>
        </xdr:cNvPr>
        <xdr:cNvPicPr>
          <a:picLocks noChangeAspect="1"/>
        </xdr:cNvPicPr>
      </xdr:nvPicPr>
      <xdr:blipFill>
        <a:blip xmlns:r="http://schemas.openxmlformats.org/officeDocument/2006/relationships" r:embed="rId1"/>
        <a:stretch>
          <a:fillRect/>
        </a:stretch>
      </xdr:blipFill>
      <xdr:spPr>
        <a:xfrm>
          <a:off x="5372101" y="2828040"/>
          <a:ext cx="6248400" cy="4043363"/>
        </a:xfrm>
        <a:prstGeom prst="rect">
          <a:avLst/>
        </a:prstGeom>
      </xdr:spPr>
    </xdr:pic>
    <xdr:clientData/>
  </xdr:twoCellAnchor>
  <xdr:twoCellAnchor editAs="oneCell">
    <xdr:from>
      <xdr:col>20</xdr:col>
      <xdr:colOff>0</xdr:colOff>
      <xdr:row>0</xdr:row>
      <xdr:rowOff>0</xdr:rowOff>
    </xdr:from>
    <xdr:to>
      <xdr:col>22</xdr:col>
      <xdr:colOff>28575</xdr:colOff>
      <xdr:row>9</xdr:row>
      <xdr:rowOff>36195</xdr:rowOff>
    </xdr:to>
    <xdr:pic>
      <xdr:nvPicPr>
        <xdr:cNvPr id="4" name="Picture 1">
          <a:extLst>
            <a:ext uri="{FF2B5EF4-FFF2-40B4-BE49-F238E27FC236}">
              <a16:creationId xmlns:a16="http://schemas.microsoft.com/office/drawing/2014/main" id="{84C8B5CF-5AA7-4EF5-A6A3-E8AFF8194E77}"/>
            </a:ext>
            <a:ext uri="{147F2762-F138-4A5C-976F-8EAC2B608ADB}">
              <a16:predDERef xmlns:a16="http://schemas.microsoft.com/office/drawing/2014/main" pred="{D9D7325A-77B6-D088-9D11-EA0892347FD2}"/>
            </a:ext>
          </a:extLst>
        </xdr:cNvPr>
        <xdr:cNvPicPr>
          <a:picLocks noChangeAspect="1"/>
        </xdr:cNvPicPr>
      </xdr:nvPicPr>
      <xdr:blipFill>
        <a:blip xmlns:r="http://schemas.openxmlformats.org/officeDocument/2006/relationships" r:embed="rId2"/>
        <a:stretch>
          <a:fillRect/>
        </a:stretch>
      </xdr:blipFill>
      <xdr:spPr>
        <a:xfrm>
          <a:off x="11268075" y="0"/>
          <a:ext cx="1238250" cy="1781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95250</xdr:colOff>
      <xdr:row>14</xdr:row>
      <xdr:rowOff>257175</xdr:rowOff>
    </xdr:from>
    <xdr:to>
      <xdr:col>8</xdr:col>
      <xdr:colOff>346564</xdr:colOff>
      <xdr:row>18</xdr:row>
      <xdr:rowOff>262617</xdr:rowOff>
    </xdr:to>
    <xdr:pic>
      <xdr:nvPicPr>
        <xdr:cNvPr id="2" name="Picture 1">
          <a:extLst>
            <a:ext uri="{FF2B5EF4-FFF2-40B4-BE49-F238E27FC236}">
              <a16:creationId xmlns:a16="http://schemas.microsoft.com/office/drawing/2014/main" id="{766A087D-C641-433A-889C-1E98D8C2211A}"/>
            </a:ext>
          </a:extLst>
        </xdr:cNvPr>
        <xdr:cNvPicPr>
          <a:picLocks noChangeAspect="1"/>
        </xdr:cNvPicPr>
      </xdr:nvPicPr>
      <xdr:blipFill>
        <a:blip xmlns:r="http://schemas.openxmlformats.org/officeDocument/2006/relationships" r:embed="rId1"/>
        <a:stretch>
          <a:fillRect/>
        </a:stretch>
      </xdr:blipFill>
      <xdr:spPr>
        <a:xfrm>
          <a:off x="2548890" y="2141220"/>
          <a:ext cx="2722099" cy="1247502"/>
        </a:xfrm>
        <a:prstGeom prst="rect">
          <a:avLst/>
        </a:prstGeom>
      </xdr:spPr>
    </xdr:pic>
    <xdr:clientData/>
  </xdr:twoCellAnchor>
  <xdr:twoCellAnchor>
    <xdr:from>
      <xdr:col>16</xdr:col>
      <xdr:colOff>28575</xdr:colOff>
      <xdr:row>10</xdr:row>
      <xdr:rowOff>228600</xdr:rowOff>
    </xdr:from>
    <xdr:to>
      <xdr:col>16</xdr:col>
      <xdr:colOff>542925</xdr:colOff>
      <xdr:row>12</xdr:row>
      <xdr:rowOff>9525</xdr:rowOff>
    </xdr:to>
    <xdr:cxnSp macro="">
      <xdr:nvCxnSpPr>
        <xdr:cNvPr id="4" name="Straight Connector 3">
          <a:extLst>
            <a:ext uri="{FF2B5EF4-FFF2-40B4-BE49-F238E27FC236}">
              <a16:creationId xmlns:a16="http://schemas.microsoft.com/office/drawing/2014/main" id="{05FA2255-BD1C-49CB-AF59-50A94496DEE7}"/>
            </a:ext>
            <a:ext uri="{147F2762-F138-4A5C-976F-8EAC2B608ADB}">
              <a16:predDERef xmlns:a16="http://schemas.microsoft.com/office/drawing/2014/main" pred="{00000000-0008-0000-0100-000003000000}"/>
            </a:ext>
          </a:extLst>
        </xdr:cNvPr>
        <xdr:cNvCxnSpPr>
          <a:cxnSpLocks/>
        </xdr:cNvCxnSpPr>
      </xdr:nvCxnSpPr>
      <xdr:spPr>
        <a:xfrm flipH="1">
          <a:off x="10372725" y="857250"/>
          <a:ext cx="514350" cy="4095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0</xdr:row>
      <xdr:rowOff>0</xdr:rowOff>
    </xdr:from>
    <xdr:to>
      <xdr:col>26</xdr:col>
      <xdr:colOff>34290</xdr:colOff>
      <xdr:row>5</xdr:row>
      <xdr:rowOff>224790</xdr:rowOff>
    </xdr:to>
    <xdr:pic>
      <xdr:nvPicPr>
        <xdr:cNvPr id="5" name="Picture 1">
          <a:extLst>
            <a:ext uri="{FF2B5EF4-FFF2-40B4-BE49-F238E27FC236}">
              <a16:creationId xmlns:a16="http://schemas.microsoft.com/office/drawing/2014/main" id="{1BF09804-4169-4509-A355-60A00C726556}"/>
            </a:ext>
            <a:ext uri="{147F2762-F138-4A5C-976F-8EAC2B608ADB}">
              <a16:predDERef xmlns:a16="http://schemas.microsoft.com/office/drawing/2014/main" pred="{05FA2255-BD1C-49CB-AF59-50A94496DEE7}"/>
            </a:ext>
          </a:extLst>
        </xdr:cNvPr>
        <xdr:cNvPicPr>
          <a:picLocks noChangeAspect="1"/>
        </xdr:cNvPicPr>
      </xdr:nvPicPr>
      <xdr:blipFill>
        <a:blip xmlns:r="http://schemas.openxmlformats.org/officeDocument/2006/relationships" r:embed="rId2"/>
        <a:stretch>
          <a:fillRect/>
        </a:stretch>
      </xdr:blipFill>
      <xdr:spPr>
        <a:xfrm>
          <a:off x="15392400" y="0"/>
          <a:ext cx="1238250" cy="1781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10</xdr:row>
      <xdr:rowOff>209550</xdr:rowOff>
    </xdr:from>
    <xdr:to>
      <xdr:col>16</xdr:col>
      <xdr:colOff>561975</xdr:colOff>
      <xdr:row>11</xdr:row>
      <xdr:rowOff>304800</xdr:rowOff>
    </xdr:to>
    <xdr:cxnSp macro="">
      <xdr:nvCxnSpPr>
        <xdr:cNvPr id="6" name="Straight Connector 5">
          <a:extLst>
            <a:ext uri="{FF2B5EF4-FFF2-40B4-BE49-F238E27FC236}">
              <a16:creationId xmlns:a16="http://schemas.microsoft.com/office/drawing/2014/main" id="{2B745936-DC01-4089-86B6-ECE5196488DF}"/>
            </a:ext>
            <a:ext uri="{147F2762-F138-4A5C-976F-8EAC2B608ADB}">
              <a16:predDERef xmlns:a16="http://schemas.microsoft.com/office/drawing/2014/main" pred="{00000000-0008-0000-0100-000003000000}"/>
            </a:ext>
          </a:extLst>
        </xdr:cNvPr>
        <xdr:cNvCxnSpPr>
          <a:cxnSpLocks/>
        </xdr:cNvCxnSpPr>
      </xdr:nvCxnSpPr>
      <xdr:spPr>
        <a:xfrm flipH="1">
          <a:off x="10391775" y="838200"/>
          <a:ext cx="514350" cy="4095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95250</xdr:colOff>
      <xdr:row>14</xdr:row>
      <xdr:rowOff>257175</xdr:rowOff>
    </xdr:from>
    <xdr:to>
      <xdr:col>8</xdr:col>
      <xdr:colOff>350374</xdr:colOff>
      <xdr:row>18</xdr:row>
      <xdr:rowOff>249282</xdr:rowOff>
    </xdr:to>
    <xdr:pic>
      <xdr:nvPicPr>
        <xdr:cNvPr id="8" name="Picture 7">
          <a:extLst>
            <a:ext uri="{FF2B5EF4-FFF2-40B4-BE49-F238E27FC236}">
              <a16:creationId xmlns:a16="http://schemas.microsoft.com/office/drawing/2014/main" id="{3E5AF94E-C38E-470E-84EA-2AED2934218B}"/>
            </a:ext>
          </a:extLst>
        </xdr:cNvPr>
        <xdr:cNvPicPr>
          <a:picLocks noChangeAspect="1"/>
        </xdr:cNvPicPr>
      </xdr:nvPicPr>
      <xdr:blipFill>
        <a:blip xmlns:r="http://schemas.openxmlformats.org/officeDocument/2006/relationships" r:embed="rId1"/>
        <a:stretch>
          <a:fillRect/>
        </a:stretch>
      </xdr:blipFill>
      <xdr:spPr>
        <a:xfrm>
          <a:off x="2990850" y="4533900"/>
          <a:ext cx="2731624" cy="1249407"/>
        </a:xfrm>
        <a:prstGeom prst="rect">
          <a:avLst/>
        </a:prstGeom>
      </xdr:spPr>
    </xdr:pic>
    <xdr:clientData/>
  </xdr:twoCellAnchor>
  <xdr:twoCellAnchor editAs="oneCell">
    <xdr:from>
      <xdr:col>24</xdr:col>
      <xdr:colOff>0</xdr:colOff>
      <xdr:row>0</xdr:row>
      <xdr:rowOff>0</xdr:rowOff>
    </xdr:from>
    <xdr:to>
      <xdr:col>26</xdr:col>
      <xdr:colOff>19050</xdr:colOff>
      <xdr:row>5</xdr:row>
      <xdr:rowOff>219075</xdr:rowOff>
    </xdr:to>
    <xdr:pic>
      <xdr:nvPicPr>
        <xdr:cNvPr id="3" name="Picture 1">
          <a:extLst>
            <a:ext uri="{FF2B5EF4-FFF2-40B4-BE49-F238E27FC236}">
              <a16:creationId xmlns:a16="http://schemas.microsoft.com/office/drawing/2014/main" id="{E8D674BA-4B64-4CE6-9945-39D33B005D36}"/>
            </a:ext>
            <a:ext uri="{147F2762-F138-4A5C-976F-8EAC2B608ADB}">
              <a16:predDERef xmlns:a16="http://schemas.microsoft.com/office/drawing/2014/main" pred="{3E5AF94E-C38E-470E-84EA-2AED2934218B}"/>
            </a:ext>
          </a:extLst>
        </xdr:cNvPr>
        <xdr:cNvPicPr>
          <a:picLocks noChangeAspect="1"/>
        </xdr:cNvPicPr>
      </xdr:nvPicPr>
      <xdr:blipFill>
        <a:blip xmlns:r="http://schemas.openxmlformats.org/officeDocument/2006/relationships" r:embed="rId2"/>
        <a:stretch>
          <a:fillRect/>
        </a:stretch>
      </xdr:blipFill>
      <xdr:spPr>
        <a:xfrm>
          <a:off x="15392400" y="0"/>
          <a:ext cx="1238250" cy="1781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0</xdr:row>
          <xdr:rowOff>9525</xdr:rowOff>
        </xdr:from>
        <xdr:to>
          <xdr:col>3</xdr:col>
          <xdr:colOff>533400</xdr:colOff>
          <xdr:row>1</xdr:row>
          <xdr:rowOff>30480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9525</xdr:rowOff>
        </xdr:from>
        <xdr:to>
          <xdr:col>3</xdr:col>
          <xdr:colOff>495300</xdr:colOff>
          <xdr:row>12</xdr:row>
          <xdr:rowOff>7620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0</xdr:colOff>
      <xdr:row>0</xdr:row>
      <xdr:rowOff>0</xdr:rowOff>
    </xdr:from>
    <xdr:to>
      <xdr:col>36</xdr:col>
      <xdr:colOff>26670</xdr:colOff>
      <xdr:row>7</xdr:row>
      <xdr:rowOff>188595</xdr:rowOff>
    </xdr:to>
    <xdr:pic>
      <xdr:nvPicPr>
        <xdr:cNvPr id="3" name="Picture 1">
          <a:extLst>
            <a:ext uri="{FF2B5EF4-FFF2-40B4-BE49-F238E27FC236}">
              <a16:creationId xmlns:a16="http://schemas.microsoft.com/office/drawing/2014/main" id="{D21BF2EB-CD31-4B9C-BACD-3369E2290745}"/>
            </a:ext>
            <a:ext uri="{147F2762-F138-4A5C-976F-8EAC2B608ADB}">
              <a16:predDERef xmlns:a16="http://schemas.microsoft.com/office/drawing/2014/main" pred="{00000000-0008-0000-0500-0000021C0000}"/>
            </a:ext>
          </a:extLst>
        </xdr:cNvPr>
        <xdr:cNvPicPr>
          <a:picLocks noChangeAspect="1"/>
        </xdr:cNvPicPr>
      </xdr:nvPicPr>
      <xdr:blipFill>
        <a:blip xmlns:r="http://schemas.openxmlformats.org/officeDocument/2006/relationships" r:embed="rId1"/>
        <a:stretch>
          <a:fillRect/>
        </a:stretch>
      </xdr:blipFill>
      <xdr:spPr>
        <a:xfrm>
          <a:off x="15297150" y="0"/>
          <a:ext cx="1238250" cy="17811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BDD8-4480-4C92-B1BD-3D6B4EDF679E}">
  <dimension ref="A4:R20"/>
  <sheetViews>
    <sheetView showGridLines="0" zoomScale="130" zoomScaleNormal="130" workbookViewId="0">
      <selection activeCell="C12" sqref="C12"/>
    </sheetView>
  </sheetViews>
  <sheetFormatPr defaultRowHeight="15" x14ac:dyDescent="0.25"/>
  <sheetData>
    <row r="4" spans="1:18" ht="15.75" thickBot="1" x14ac:dyDescent="0.3"/>
    <row r="5" spans="1:18" ht="19.5" thickTop="1" x14ac:dyDescent="0.3">
      <c r="A5" s="37" t="s">
        <v>66</v>
      </c>
      <c r="B5" s="37"/>
      <c r="C5" s="37"/>
      <c r="D5" s="37"/>
      <c r="E5" s="37"/>
      <c r="K5" s="94" t="s">
        <v>92</v>
      </c>
      <c r="L5" s="95"/>
      <c r="M5" s="95"/>
      <c r="N5" s="95"/>
      <c r="O5" s="95"/>
      <c r="P5" s="95"/>
      <c r="Q5" s="96"/>
      <c r="R5" s="88"/>
    </row>
    <row r="6" spans="1:18" ht="18.75" x14ac:dyDescent="0.3">
      <c r="A6" s="37"/>
      <c r="B6" s="37"/>
      <c r="C6" s="37"/>
      <c r="D6" s="37"/>
      <c r="E6" s="37"/>
      <c r="K6" s="97"/>
      <c r="L6" s="98"/>
      <c r="M6" s="98"/>
      <c r="N6" s="98"/>
      <c r="O6" s="98"/>
      <c r="P6" s="98"/>
      <c r="Q6" s="99"/>
      <c r="R6" s="88"/>
    </row>
    <row r="7" spans="1:18" ht="18.75" x14ac:dyDescent="0.3">
      <c r="A7" s="37" t="s">
        <v>65</v>
      </c>
      <c r="B7" s="37"/>
      <c r="C7" s="37"/>
      <c r="D7" s="37"/>
      <c r="E7" s="37"/>
      <c r="K7" s="97"/>
      <c r="L7" s="98"/>
      <c r="M7" s="98"/>
      <c r="N7" s="98"/>
      <c r="O7" s="98"/>
      <c r="P7" s="98"/>
      <c r="Q7" s="99"/>
      <c r="R7" s="88"/>
    </row>
    <row r="8" spans="1:18" ht="15.75" x14ac:dyDescent="0.25">
      <c r="A8" s="3">
        <v>1</v>
      </c>
      <c r="B8" s="35" t="s">
        <v>57</v>
      </c>
      <c r="K8" s="100" t="s">
        <v>93</v>
      </c>
      <c r="L8" s="101"/>
      <c r="M8" s="101"/>
      <c r="N8" s="101"/>
      <c r="O8" s="101"/>
      <c r="P8" s="101"/>
      <c r="Q8" s="102"/>
      <c r="R8" s="88"/>
    </row>
    <row r="9" spans="1:18" ht="15.75" x14ac:dyDescent="0.25">
      <c r="A9" s="3">
        <v>2</v>
      </c>
      <c r="B9" s="35" t="s">
        <v>58</v>
      </c>
      <c r="K9" s="100" t="s">
        <v>94</v>
      </c>
      <c r="L9" s="101"/>
      <c r="M9" s="101"/>
      <c r="N9" s="101"/>
      <c r="O9" s="101"/>
      <c r="P9" s="101"/>
      <c r="Q9" s="101"/>
      <c r="R9" s="89"/>
    </row>
    <row r="10" spans="1:18" ht="16.5" thickBot="1" x14ac:dyDescent="0.3">
      <c r="A10" s="93">
        <v>3</v>
      </c>
      <c r="B10" s="35" t="s">
        <v>59</v>
      </c>
      <c r="K10" s="103" t="s">
        <v>95</v>
      </c>
      <c r="L10" s="104"/>
      <c r="M10" s="104"/>
      <c r="N10" s="104"/>
      <c r="O10" s="104"/>
      <c r="P10" s="104"/>
      <c r="Q10" s="104"/>
      <c r="R10" s="89"/>
    </row>
    <row r="11" spans="1:18" ht="15.75" thickTop="1" x14ac:dyDescent="0.25">
      <c r="A11" s="93"/>
      <c r="B11" s="35" t="s">
        <v>60</v>
      </c>
      <c r="K11" s="88"/>
      <c r="L11" s="88"/>
      <c r="M11" s="88"/>
      <c r="N11" s="88"/>
      <c r="O11" s="88"/>
      <c r="P11" s="88"/>
      <c r="Q11" s="88"/>
      <c r="R11" s="88"/>
    </row>
    <row r="12" spans="1:18" x14ac:dyDescent="0.25">
      <c r="A12" s="35"/>
      <c r="K12" s="88"/>
      <c r="L12" s="88"/>
      <c r="M12" s="88"/>
      <c r="N12" s="88"/>
      <c r="O12" s="88"/>
      <c r="P12" s="88"/>
      <c r="Q12" s="88"/>
      <c r="R12" s="88"/>
    </row>
    <row r="13" spans="1:18" x14ac:dyDescent="0.25">
      <c r="A13" s="35" t="s">
        <v>63</v>
      </c>
      <c r="K13" s="88"/>
      <c r="L13" s="88"/>
      <c r="M13" s="88"/>
      <c r="N13" s="88"/>
      <c r="O13" s="88"/>
      <c r="P13" s="88"/>
      <c r="Q13" s="88"/>
      <c r="R13" s="88"/>
    </row>
    <row r="14" spans="1:18" x14ac:dyDescent="0.25">
      <c r="A14" s="35" t="s">
        <v>64</v>
      </c>
    </row>
    <row r="15" spans="1:18" x14ac:dyDescent="0.25">
      <c r="A15" s="55"/>
      <c r="B15" t="s">
        <v>61</v>
      </c>
    </row>
    <row r="17" spans="1:2" x14ac:dyDescent="0.25">
      <c r="A17" s="56"/>
      <c r="B17" t="s">
        <v>62</v>
      </c>
    </row>
    <row r="20" spans="1:2" ht="18.75" x14ac:dyDescent="0.3">
      <c r="A20" s="37" t="s">
        <v>67</v>
      </c>
    </row>
  </sheetData>
  <sheetProtection algorithmName="SHA-512" hashValue="d0FBp0bLP5OCwzPcpx1BRFFtqweZV0J6UtzqmmW04dkyAy1vv3UxQcX53qGj/G280MGec4YEDHzjMWnTK50TqA==" saltValue="fc7VIeXo48AvGXGDCxIBLA==" spinCount="100000" sheet="1" objects="1" scenarios="1"/>
  <mergeCells count="5">
    <mergeCell ref="A10:A11"/>
    <mergeCell ref="K5:Q7"/>
    <mergeCell ref="K8:Q8"/>
    <mergeCell ref="K9:Q9"/>
    <mergeCell ref="K10:Q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9873-3FFC-4944-B403-56068C702D85}">
  <sheetPr codeName="Sheet1"/>
  <dimension ref="A1:W77"/>
  <sheetViews>
    <sheetView showGridLines="0" tabSelected="1" zoomScale="110" zoomScaleNormal="110" workbookViewId="0">
      <selection activeCell="B5" sqref="B5"/>
    </sheetView>
  </sheetViews>
  <sheetFormatPr defaultRowHeight="14.25" x14ac:dyDescent="0.2"/>
  <cols>
    <col min="1" max="1" width="18.85546875" style="40" customWidth="1"/>
    <col min="2" max="2" width="12.140625" style="40" customWidth="1"/>
    <col min="3" max="3" width="15.140625" style="39" customWidth="1"/>
    <col min="4" max="4" width="0" style="39" hidden="1" customWidth="1"/>
    <col min="5" max="6" width="9.140625" style="39" hidden="1" customWidth="1"/>
    <col min="7" max="7" width="16.85546875" style="39" hidden="1" customWidth="1"/>
    <col min="8" max="8" width="9.140625" style="39" hidden="1" customWidth="1"/>
    <col min="9" max="9" width="1.28515625" style="39" hidden="1" customWidth="1"/>
    <col min="10" max="21" width="9.140625" style="39"/>
    <col min="22" max="22" width="9.140625" style="39" customWidth="1"/>
    <col min="23" max="23" width="6.7109375" style="39" customWidth="1"/>
    <col min="24" max="16384" width="9.140625" style="39"/>
  </cols>
  <sheetData>
    <row r="1" spans="1:23" ht="15.75" x14ac:dyDescent="0.25">
      <c r="A1" s="105" t="s">
        <v>52</v>
      </c>
      <c r="B1" s="105"/>
      <c r="C1" s="90"/>
      <c r="W1" s="226">
        <v>1</v>
      </c>
    </row>
    <row r="2" spans="1:23" x14ac:dyDescent="0.2">
      <c r="A2" s="110"/>
      <c r="B2" s="111"/>
    </row>
    <row r="3" spans="1:23" ht="15" x14ac:dyDescent="0.25">
      <c r="A3" s="68" t="s">
        <v>24</v>
      </c>
      <c r="B3" s="74">
        <v>1200</v>
      </c>
      <c r="E3" s="108" t="s">
        <v>21</v>
      </c>
      <c r="F3" s="108"/>
      <c r="G3" s="40" t="s">
        <v>27</v>
      </c>
    </row>
    <row r="4" spans="1:23" ht="15" customHeight="1" x14ac:dyDescent="0.2">
      <c r="A4" s="68"/>
      <c r="B4" s="69" t="s">
        <v>99</v>
      </c>
      <c r="E4" s="40" t="s">
        <v>22</v>
      </c>
      <c r="F4" s="40" t="s">
        <v>23</v>
      </c>
      <c r="G4" s="41" t="s">
        <v>20</v>
      </c>
    </row>
    <row r="5" spans="1:23" ht="15.75" customHeight="1" x14ac:dyDescent="0.25">
      <c r="A5" s="68" t="s">
        <v>26</v>
      </c>
      <c r="B5" s="75">
        <v>15</v>
      </c>
      <c r="C5" s="107" t="s">
        <v>88</v>
      </c>
      <c r="D5" s="107"/>
      <c r="E5" s="40">
        <v>10</v>
      </c>
      <c r="F5" s="42">
        <v>4.5</v>
      </c>
      <c r="G5" s="40">
        <v>2</v>
      </c>
      <c r="H5" s="43">
        <f t="shared" ref="H5:H76" si="0">G5/E5</f>
        <v>0.2</v>
      </c>
    </row>
    <row r="6" spans="1:23" ht="15" customHeight="1" x14ac:dyDescent="0.25">
      <c r="A6" s="68" t="s">
        <v>87</v>
      </c>
      <c r="B6" s="74"/>
      <c r="C6" s="107"/>
      <c r="D6" s="107"/>
      <c r="E6" s="40">
        <v>11</v>
      </c>
      <c r="F6" s="42">
        <f>E6/2.2</f>
        <v>5</v>
      </c>
      <c r="G6" s="40">
        <v>2</v>
      </c>
      <c r="H6" s="43">
        <f t="shared" si="0"/>
        <v>0.18181818181818182</v>
      </c>
    </row>
    <row r="7" spans="1:23" ht="15" customHeight="1" x14ac:dyDescent="0.2">
      <c r="A7" s="68"/>
      <c r="B7" s="72">
        <f>IF(B6="",B5,B6*2.205)</f>
        <v>15</v>
      </c>
      <c r="E7" s="40">
        <v>12</v>
      </c>
      <c r="F7" s="42">
        <v>5.4</v>
      </c>
      <c r="G7" s="40">
        <v>2</v>
      </c>
      <c r="H7" s="43">
        <f t="shared" si="0"/>
        <v>0.16666666666666666</v>
      </c>
    </row>
    <row r="8" spans="1:23" ht="14.25" customHeight="1" x14ac:dyDescent="0.2">
      <c r="A8" s="68" t="s">
        <v>25</v>
      </c>
      <c r="B8" s="212">
        <f>VLOOKUP(B7,E5:H76,3,TRUE)</f>
        <v>2</v>
      </c>
      <c r="C8" s="39" t="s">
        <v>28</v>
      </c>
      <c r="E8" s="40">
        <v>13</v>
      </c>
      <c r="F8" s="42">
        <f t="shared" ref="F8:F9" si="1">E8/2.2</f>
        <v>5.9090909090909083</v>
      </c>
      <c r="G8" s="40">
        <v>2</v>
      </c>
      <c r="H8" s="43">
        <f t="shared" si="0"/>
        <v>0.15384615384615385</v>
      </c>
    </row>
    <row r="9" spans="1:23" ht="15" customHeight="1" x14ac:dyDescent="0.2">
      <c r="A9" s="68"/>
      <c r="B9" s="69"/>
      <c r="E9" s="40">
        <v>14</v>
      </c>
      <c r="F9" s="42">
        <f t="shared" si="1"/>
        <v>6.3636363636363633</v>
      </c>
      <c r="G9" s="40">
        <v>2</v>
      </c>
      <c r="H9" s="43">
        <f t="shared" si="0"/>
        <v>0.14285714285714285</v>
      </c>
    </row>
    <row r="10" spans="1:23" ht="14.25" customHeight="1" x14ac:dyDescent="0.2">
      <c r="A10" s="68" t="s">
        <v>25</v>
      </c>
      <c r="B10" s="213">
        <f>B3*B8</f>
        <v>2400</v>
      </c>
      <c r="E10" s="40">
        <v>15</v>
      </c>
      <c r="F10" s="42">
        <v>6.8</v>
      </c>
      <c r="G10" s="40">
        <v>2</v>
      </c>
      <c r="H10" s="43">
        <f t="shared" si="0"/>
        <v>0.13333333333333333</v>
      </c>
    </row>
    <row r="11" spans="1:23" ht="15" customHeight="1" x14ac:dyDescent="0.2">
      <c r="A11" s="73"/>
      <c r="B11" s="71"/>
      <c r="E11" s="40">
        <v>16</v>
      </c>
      <c r="F11" s="42">
        <f t="shared" ref="F11:F13" si="2">E11/2.2</f>
        <v>7.2727272727272725</v>
      </c>
      <c r="G11" s="40">
        <v>2</v>
      </c>
      <c r="H11" s="43">
        <f t="shared" si="0"/>
        <v>0.125</v>
      </c>
    </row>
    <row r="12" spans="1:23" ht="15.75" customHeight="1" x14ac:dyDescent="0.25">
      <c r="A12" s="109" t="s">
        <v>50</v>
      </c>
      <c r="B12" s="109"/>
      <c r="C12" s="90"/>
      <c r="E12" s="40">
        <v>17</v>
      </c>
      <c r="F12" s="42">
        <f t="shared" si="2"/>
        <v>7.7272727272727266</v>
      </c>
      <c r="G12" s="40">
        <v>2</v>
      </c>
      <c r="H12" s="43">
        <f t="shared" si="0"/>
        <v>0.11764705882352941</v>
      </c>
    </row>
    <row r="13" spans="1:23" ht="15" customHeight="1" x14ac:dyDescent="0.2">
      <c r="A13" s="66"/>
      <c r="B13" s="67"/>
      <c r="E13" s="40">
        <v>18</v>
      </c>
      <c r="F13" s="42">
        <f t="shared" si="2"/>
        <v>8.1818181818181817</v>
      </c>
      <c r="G13" s="40">
        <v>2</v>
      </c>
      <c r="H13" s="43">
        <f t="shared" si="0"/>
        <v>0.1111111111111111</v>
      </c>
    </row>
    <row r="14" spans="1:23" ht="15" customHeight="1" x14ac:dyDescent="0.25">
      <c r="A14" s="68" t="s">
        <v>51</v>
      </c>
      <c r="B14" s="74">
        <v>48</v>
      </c>
      <c r="E14" s="40">
        <v>19</v>
      </c>
      <c r="F14" s="42">
        <v>8.6</v>
      </c>
      <c r="G14" s="40">
        <v>2</v>
      </c>
      <c r="H14" s="43">
        <f t="shared" si="0"/>
        <v>0.10526315789473684</v>
      </c>
    </row>
    <row r="15" spans="1:23" ht="15" customHeight="1" x14ac:dyDescent="0.2">
      <c r="A15" s="68"/>
      <c r="B15" s="69"/>
      <c r="E15" s="40">
        <v>20</v>
      </c>
      <c r="F15" s="42">
        <f t="shared" ref="F15:F18" si="3">E15/2.2</f>
        <v>9.0909090909090899</v>
      </c>
      <c r="G15" s="40">
        <v>2</v>
      </c>
      <c r="H15" s="43">
        <f t="shared" si="0"/>
        <v>0.1</v>
      </c>
    </row>
    <row r="16" spans="1:23" ht="14.25" customHeight="1" x14ac:dyDescent="0.2">
      <c r="A16" s="68" t="s">
        <v>25</v>
      </c>
      <c r="B16" s="213">
        <f>B14*20</f>
        <v>960</v>
      </c>
      <c r="E16" s="40">
        <v>21</v>
      </c>
      <c r="F16" s="42">
        <f t="shared" si="3"/>
        <v>9.545454545454545</v>
      </c>
      <c r="G16" s="40">
        <v>2.1</v>
      </c>
      <c r="H16" s="43">
        <f t="shared" si="0"/>
        <v>0.1</v>
      </c>
    </row>
    <row r="17" spans="1:8" ht="15" customHeight="1" x14ac:dyDescent="0.2">
      <c r="A17" s="70"/>
      <c r="B17" s="71"/>
      <c r="E17" s="40">
        <v>22</v>
      </c>
      <c r="F17" s="42">
        <f t="shared" si="3"/>
        <v>10</v>
      </c>
      <c r="G17" s="40">
        <v>2.1</v>
      </c>
      <c r="H17" s="43">
        <f t="shared" si="0"/>
        <v>9.5454545454545459E-2</v>
      </c>
    </row>
    <row r="18" spans="1:8" ht="14.25" customHeight="1" x14ac:dyDescent="0.2">
      <c r="E18" s="40">
        <v>23</v>
      </c>
      <c r="F18" s="42">
        <f t="shared" si="3"/>
        <v>10.454545454545453</v>
      </c>
      <c r="G18" s="40">
        <v>2.1</v>
      </c>
      <c r="H18" s="43">
        <f t="shared" si="0"/>
        <v>9.1304347826086957E-2</v>
      </c>
    </row>
    <row r="19" spans="1:8" ht="15.75" customHeight="1" x14ac:dyDescent="0.25">
      <c r="A19" s="48" t="s">
        <v>53</v>
      </c>
      <c r="B19" s="214" cm="1">
        <f t="array" ref="B19" xml:space="preserve"> _xlfn.IFS(W1=1,B10, W1=2,B16)</f>
        <v>2400</v>
      </c>
      <c r="E19" s="40">
        <v>24</v>
      </c>
      <c r="F19" s="42">
        <v>10.9</v>
      </c>
      <c r="G19" s="40">
        <v>2.2000000000000002</v>
      </c>
      <c r="H19" s="43">
        <f t="shared" si="0"/>
        <v>9.1666666666666674E-2</v>
      </c>
    </row>
    <row r="20" spans="1:8" ht="14.25" customHeight="1" x14ac:dyDescent="0.2">
      <c r="E20" s="40">
        <v>25</v>
      </c>
      <c r="F20" s="42">
        <f t="shared" ref="F20:F56" si="4">E20/2.2</f>
        <v>11.363636363636363</v>
      </c>
      <c r="G20" s="40">
        <v>2.2000000000000002</v>
      </c>
      <c r="H20" s="43">
        <f t="shared" si="0"/>
        <v>8.8000000000000009E-2</v>
      </c>
    </row>
    <row r="21" spans="1:8" ht="14.25" customHeight="1" x14ac:dyDescent="0.25">
      <c r="A21" s="58" t="s">
        <v>68</v>
      </c>
      <c r="B21" s="59"/>
      <c r="C21" s="60"/>
      <c r="D21" s="60"/>
      <c r="E21" s="40">
        <v>26</v>
      </c>
      <c r="F21" s="42">
        <f t="shared" si="4"/>
        <v>11.818181818181817</v>
      </c>
      <c r="G21" s="40">
        <v>2.2000000000000002</v>
      </c>
      <c r="H21" s="43">
        <f t="shared" si="0"/>
        <v>8.461538461538462E-2</v>
      </c>
    </row>
    <row r="22" spans="1:8" ht="14.25" customHeight="1" x14ac:dyDescent="0.2">
      <c r="A22" s="106" t="s">
        <v>69</v>
      </c>
      <c r="B22" s="106"/>
      <c r="C22" s="106"/>
      <c r="D22" s="106"/>
      <c r="E22" s="40">
        <v>27</v>
      </c>
      <c r="F22" s="42">
        <f t="shared" si="4"/>
        <v>12.272727272727272</v>
      </c>
      <c r="G22" s="40">
        <v>2.2000000000000002</v>
      </c>
      <c r="H22" s="43">
        <f t="shared" si="0"/>
        <v>8.1481481481481488E-2</v>
      </c>
    </row>
    <row r="23" spans="1:8" ht="15" customHeight="1" x14ac:dyDescent="0.2">
      <c r="A23" s="106"/>
      <c r="B23" s="106"/>
      <c r="C23" s="106"/>
      <c r="D23" s="106"/>
      <c r="E23" s="40">
        <v>28</v>
      </c>
      <c r="F23" s="42">
        <f t="shared" si="4"/>
        <v>12.727272727272727</v>
      </c>
      <c r="G23" s="40">
        <v>2.2000000000000002</v>
      </c>
      <c r="H23" s="43">
        <f t="shared" si="0"/>
        <v>7.8571428571428584E-2</v>
      </c>
    </row>
    <row r="24" spans="1:8" ht="14.25" customHeight="1" x14ac:dyDescent="0.2">
      <c r="A24" s="106"/>
      <c r="B24" s="106"/>
      <c r="C24" s="106"/>
      <c r="D24" s="106"/>
      <c r="E24" s="40">
        <v>29</v>
      </c>
      <c r="F24" s="42">
        <f t="shared" si="4"/>
        <v>13.18181818181818</v>
      </c>
      <c r="G24" s="40">
        <v>2.2000000000000002</v>
      </c>
      <c r="H24" s="43">
        <f t="shared" si="0"/>
        <v>7.5862068965517254E-2</v>
      </c>
    </row>
    <row r="25" spans="1:8" ht="15" customHeight="1" x14ac:dyDescent="0.2">
      <c r="A25" s="106"/>
      <c r="B25" s="106"/>
      <c r="C25" s="106"/>
      <c r="D25" s="106"/>
      <c r="E25" s="40">
        <v>30</v>
      </c>
      <c r="F25" s="42">
        <f t="shared" si="4"/>
        <v>13.636363636363635</v>
      </c>
      <c r="G25" s="40">
        <v>2.2999999999999998</v>
      </c>
      <c r="H25" s="43">
        <f t="shared" si="0"/>
        <v>7.6666666666666661E-2</v>
      </c>
    </row>
    <row r="26" spans="1:8" ht="14.25" customHeight="1" x14ac:dyDescent="0.2">
      <c r="A26" s="106"/>
      <c r="B26" s="106"/>
      <c r="C26" s="106"/>
      <c r="D26" s="106"/>
      <c r="E26" s="40">
        <v>31</v>
      </c>
      <c r="F26" s="42">
        <v>14.1</v>
      </c>
      <c r="G26" s="40">
        <v>2.2999999999999998</v>
      </c>
      <c r="H26" s="43">
        <f t="shared" si="0"/>
        <v>7.4193548387096769E-2</v>
      </c>
    </row>
    <row r="27" spans="1:8" ht="15" customHeight="1" x14ac:dyDescent="0.2">
      <c r="A27" s="106" t="s">
        <v>97</v>
      </c>
      <c r="B27" s="106"/>
      <c r="C27" s="106"/>
      <c r="D27" s="106"/>
      <c r="E27" s="40">
        <v>32</v>
      </c>
      <c r="F27" s="42">
        <f t="shared" si="4"/>
        <v>14.545454545454545</v>
      </c>
      <c r="G27" s="40">
        <v>2.2999999999999998</v>
      </c>
      <c r="H27" s="43">
        <f t="shared" si="0"/>
        <v>7.1874999999999994E-2</v>
      </c>
    </row>
    <row r="28" spans="1:8" ht="14.25" customHeight="1" x14ac:dyDescent="0.2">
      <c r="A28" s="106"/>
      <c r="B28" s="106"/>
      <c r="C28" s="106"/>
      <c r="D28" s="106"/>
      <c r="E28" s="40">
        <v>33</v>
      </c>
      <c r="F28" s="42">
        <f t="shared" si="4"/>
        <v>14.999999999999998</v>
      </c>
      <c r="G28" s="40">
        <v>2.2999999999999998</v>
      </c>
      <c r="H28" s="43">
        <f t="shared" si="0"/>
        <v>6.9696969696969688E-2</v>
      </c>
    </row>
    <row r="29" spans="1:8" ht="15" customHeight="1" x14ac:dyDescent="0.2">
      <c r="A29" s="106"/>
      <c r="B29" s="106"/>
      <c r="C29" s="106"/>
      <c r="D29" s="106"/>
      <c r="E29" s="40">
        <v>34</v>
      </c>
      <c r="F29" s="42">
        <f t="shared" si="4"/>
        <v>15.454545454545453</v>
      </c>
      <c r="G29" s="40">
        <v>2.4</v>
      </c>
      <c r="H29" s="43">
        <f t="shared" si="0"/>
        <v>7.0588235294117646E-2</v>
      </c>
    </row>
    <row r="30" spans="1:8" ht="14.25" customHeight="1" x14ac:dyDescent="0.2">
      <c r="A30" s="106"/>
      <c r="B30" s="106"/>
      <c r="C30" s="106"/>
      <c r="D30" s="106"/>
      <c r="E30" s="40">
        <v>35</v>
      </c>
      <c r="F30" s="42">
        <f t="shared" si="4"/>
        <v>15.909090909090908</v>
      </c>
      <c r="G30" s="40">
        <v>2.4</v>
      </c>
      <c r="H30" s="43">
        <f t="shared" si="0"/>
        <v>6.8571428571428575E-2</v>
      </c>
    </row>
    <row r="31" spans="1:8" ht="15" customHeight="1" x14ac:dyDescent="0.2">
      <c r="A31" s="57"/>
      <c r="B31" s="57"/>
      <c r="C31" s="57"/>
      <c r="D31" s="57"/>
      <c r="E31" s="40">
        <v>36</v>
      </c>
      <c r="F31" s="42">
        <f t="shared" si="4"/>
        <v>16.363636363636363</v>
      </c>
      <c r="G31" s="40">
        <v>2.4</v>
      </c>
      <c r="H31" s="43">
        <f t="shared" si="0"/>
        <v>6.6666666666666666E-2</v>
      </c>
    </row>
    <row r="32" spans="1:8" ht="14.25" customHeight="1" x14ac:dyDescent="0.2">
      <c r="A32" s="57"/>
      <c r="B32" s="57"/>
      <c r="C32" s="57"/>
      <c r="D32" s="57"/>
      <c r="E32" s="40">
        <v>37</v>
      </c>
      <c r="F32" s="42">
        <f t="shared" si="4"/>
        <v>16.818181818181817</v>
      </c>
      <c r="G32" s="40">
        <v>2.5</v>
      </c>
      <c r="H32" s="43">
        <f t="shared" si="0"/>
        <v>6.7567567567567571E-2</v>
      </c>
    </row>
    <row r="33" spans="5:8" ht="15" customHeight="1" x14ac:dyDescent="0.2">
      <c r="E33" s="40">
        <v>38</v>
      </c>
      <c r="F33" s="42">
        <f t="shared" si="4"/>
        <v>17.27272727272727</v>
      </c>
      <c r="G33" s="40">
        <v>2.5</v>
      </c>
      <c r="H33" s="43">
        <f t="shared" si="0"/>
        <v>6.5789473684210523E-2</v>
      </c>
    </row>
    <row r="34" spans="5:8" ht="14.25" customHeight="1" x14ac:dyDescent="0.2">
      <c r="E34" s="40">
        <v>39</v>
      </c>
      <c r="F34" s="42">
        <f t="shared" si="4"/>
        <v>17.727272727272727</v>
      </c>
      <c r="G34" s="40">
        <v>2.5</v>
      </c>
      <c r="H34" s="43">
        <f t="shared" si="0"/>
        <v>6.4102564102564097E-2</v>
      </c>
    </row>
    <row r="35" spans="5:8" ht="15" customHeight="1" x14ac:dyDescent="0.2">
      <c r="E35" s="40">
        <v>40</v>
      </c>
      <c r="F35" s="42">
        <f t="shared" si="4"/>
        <v>18.18181818181818</v>
      </c>
      <c r="G35" s="40">
        <v>2.5</v>
      </c>
      <c r="H35" s="43">
        <f t="shared" si="0"/>
        <v>6.25E-2</v>
      </c>
    </row>
    <row r="36" spans="5:8" ht="14.25" customHeight="1" x14ac:dyDescent="0.2">
      <c r="E36" s="40">
        <v>41</v>
      </c>
      <c r="F36" s="42">
        <v>18.600000000000001</v>
      </c>
      <c r="G36" s="40">
        <v>2.6</v>
      </c>
      <c r="H36" s="43">
        <f t="shared" si="0"/>
        <v>6.3414634146341464E-2</v>
      </c>
    </row>
    <row r="37" spans="5:8" ht="15" customHeight="1" x14ac:dyDescent="0.2">
      <c r="E37" s="40">
        <v>42</v>
      </c>
      <c r="F37" s="42">
        <f t="shared" si="4"/>
        <v>19.09090909090909</v>
      </c>
      <c r="G37" s="40">
        <v>2.6</v>
      </c>
      <c r="H37" s="43">
        <f t="shared" si="0"/>
        <v>6.1904761904761907E-2</v>
      </c>
    </row>
    <row r="38" spans="5:8" ht="14.25" customHeight="1" x14ac:dyDescent="0.2">
      <c r="E38" s="40">
        <v>43</v>
      </c>
      <c r="F38" s="42">
        <f t="shared" si="4"/>
        <v>19.545454545454543</v>
      </c>
      <c r="G38" s="40">
        <v>2.6</v>
      </c>
      <c r="H38" s="43">
        <f t="shared" si="0"/>
        <v>6.0465116279069767E-2</v>
      </c>
    </row>
    <row r="39" spans="5:8" ht="15" customHeight="1" x14ac:dyDescent="0.2">
      <c r="E39" s="40">
        <v>44</v>
      </c>
      <c r="F39" s="42">
        <f t="shared" si="4"/>
        <v>20</v>
      </c>
      <c r="G39" s="40">
        <v>2.7</v>
      </c>
      <c r="H39" s="43">
        <f t="shared" si="0"/>
        <v>6.136363636363637E-2</v>
      </c>
    </row>
    <row r="40" spans="5:8" ht="14.25" customHeight="1" x14ac:dyDescent="0.2">
      <c r="E40" s="40">
        <v>45</v>
      </c>
      <c r="F40" s="42">
        <f t="shared" si="4"/>
        <v>20.454545454545453</v>
      </c>
      <c r="G40" s="40">
        <v>2.7</v>
      </c>
      <c r="H40" s="43">
        <f t="shared" si="0"/>
        <v>6.0000000000000005E-2</v>
      </c>
    </row>
    <row r="41" spans="5:8" ht="15" customHeight="1" x14ac:dyDescent="0.2">
      <c r="E41" s="40">
        <v>46</v>
      </c>
      <c r="F41" s="42">
        <f t="shared" si="4"/>
        <v>20.909090909090907</v>
      </c>
      <c r="G41" s="40">
        <v>2.7</v>
      </c>
      <c r="H41" s="43">
        <f t="shared" si="0"/>
        <v>5.8695652173913045E-2</v>
      </c>
    </row>
    <row r="42" spans="5:8" ht="14.25" customHeight="1" x14ac:dyDescent="0.2">
      <c r="E42" s="40">
        <v>47</v>
      </c>
      <c r="F42" s="42">
        <f t="shared" si="4"/>
        <v>21.363636363636363</v>
      </c>
      <c r="G42" s="40">
        <v>2.8</v>
      </c>
      <c r="H42" s="43">
        <f t="shared" si="0"/>
        <v>5.9574468085106379E-2</v>
      </c>
    </row>
    <row r="43" spans="5:8" ht="15" customHeight="1" x14ac:dyDescent="0.2">
      <c r="E43" s="40">
        <v>48</v>
      </c>
      <c r="F43" s="42">
        <f t="shared" si="4"/>
        <v>21.818181818181817</v>
      </c>
      <c r="G43" s="40">
        <v>2.8</v>
      </c>
      <c r="H43" s="43">
        <f t="shared" si="0"/>
        <v>5.8333333333333327E-2</v>
      </c>
    </row>
    <row r="44" spans="5:8" ht="14.25" customHeight="1" x14ac:dyDescent="0.2">
      <c r="E44" s="40">
        <v>49</v>
      </c>
      <c r="F44" s="42">
        <f t="shared" si="4"/>
        <v>22.27272727272727</v>
      </c>
      <c r="G44" s="40">
        <v>2.8</v>
      </c>
      <c r="H44" s="43">
        <f t="shared" si="0"/>
        <v>5.7142857142857141E-2</v>
      </c>
    </row>
    <row r="45" spans="5:8" ht="15" customHeight="1" x14ac:dyDescent="0.2">
      <c r="E45" s="40">
        <v>50</v>
      </c>
      <c r="F45" s="42">
        <f t="shared" si="4"/>
        <v>22.727272727272727</v>
      </c>
      <c r="G45" s="40">
        <v>2.8</v>
      </c>
      <c r="H45" s="43">
        <f t="shared" si="0"/>
        <v>5.5999999999999994E-2</v>
      </c>
    </row>
    <row r="46" spans="5:8" ht="14.25" customHeight="1" x14ac:dyDescent="0.2">
      <c r="E46" s="40">
        <v>51</v>
      </c>
      <c r="F46" s="42">
        <v>23.1</v>
      </c>
      <c r="G46" s="40">
        <v>2.9</v>
      </c>
      <c r="H46" s="43">
        <f t="shared" si="0"/>
        <v>5.6862745098039215E-2</v>
      </c>
    </row>
    <row r="47" spans="5:8" ht="15" customHeight="1" x14ac:dyDescent="0.2">
      <c r="E47" s="40">
        <v>52</v>
      </c>
      <c r="F47" s="42">
        <f t="shared" si="4"/>
        <v>23.636363636363633</v>
      </c>
      <c r="G47" s="40">
        <v>2.9</v>
      </c>
      <c r="H47" s="43">
        <f t="shared" si="0"/>
        <v>5.5769230769230765E-2</v>
      </c>
    </row>
    <row r="48" spans="5:8" ht="14.25" customHeight="1" x14ac:dyDescent="0.2">
      <c r="E48" s="40">
        <v>53</v>
      </c>
      <c r="F48" s="42">
        <f t="shared" si="4"/>
        <v>24.09090909090909</v>
      </c>
      <c r="G48" s="40">
        <v>3</v>
      </c>
      <c r="H48" s="43">
        <f t="shared" si="0"/>
        <v>5.6603773584905662E-2</v>
      </c>
    </row>
    <row r="49" spans="5:8" ht="15" customHeight="1" x14ac:dyDescent="0.2">
      <c r="E49" s="40">
        <v>54</v>
      </c>
      <c r="F49" s="42">
        <f t="shared" si="4"/>
        <v>24.545454545454543</v>
      </c>
      <c r="G49" s="40">
        <v>3</v>
      </c>
      <c r="H49" s="43">
        <f t="shared" si="0"/>
        <v>5.5555555555555552E-2</v>
      </c>
    </row>
    <row r="50" spans="5:8" ht="14.25" customHeight="1" x14ac:dyDescent="0.2">
      <c r="E50" s="40">
        <v>55</v>
      </c>
      <c r="F50" s="42">
        <f t="shared" si="4"/>
        <v>24.999999999999996</v>
      </c>
      <c r="G50" s="40">
        <v>3.1</v>
      </c>
      <c r="H50" s="43">
        <f t="shared" si="0"/>
        <v>5.6363636363636366E-2</v>
      </c>
    </row>
    <row r="51" spans="5:8" ht="15" customHeight="1" x14ac:dyDescent="0.2">
      <c r="E51" s="40">
        <v>56</v>
      </c>
      <c r="F51" s="42">
        <f t="shared" si="4"/>
        <v>25.454545454545453</v>
      </c>
      <c r="G51" s="40">
        <v>3.1</v>
      </c>
      <c r="H51" s="43">
        <f t="shared" si="0"/>
        <v>5.5357142857142862E-2</v>
      </c>
    </row>
    <row r="52" spans="5:8" ht="14.25" customHeight="1" x14ac:dyDescent="0.2">
      <c r="E52" s="40">
        <v>57</v>
      </c>
      <c r="F52" s="42">
        <f t="shared" si="4"/>
        <v>25.909090909090907</v>
      </c>
      <c r="G52" s="40">
        <v>3.2</v>
      </c>
      <c r="H52" s="43">
        <f t="shared" si="0"/>
        <v>5.6140350877192984E-2</v>
      </c>
    </row>
    <row r="53" spans="5:8" ht="15" customHeight="1" x14ac:dyDescent="0.2">
      <c r="E53" s="40">
        <v>58</v>
      </c>
      <c r="F53" s="42">
        <f t="shared" si="4"/>
        <v>26.36363636363636</v>
      </c>
      <c r="G53" s="40">
        <v>3.2</v>
      </c>
      <c r="H53" s="43">
        <f t="shared" si="0"/>
        <v>5.5172413793103454E-2</v>
      </c>
    </row>
    <row r="54" spans="5:8" ht="14.25" customHeight="1" x14ac:dyDescent="0.2">
      <c r="E54" s="40">
        <v>59</v>
      </c>
      <c r="F54" s="42">
        <f t="shared" si="4"/>
        <v>26.818181818181817</v>
      </c>
      <c r="G54" s="40">
        <v>3.3</v>
      </c>
      <c r="H54" s="43">
        <f t="shared" si="0"/>
        <v>5.5932203389830508E-2</v>
      </c>
    </row>
    <row r="55" spans="5:8" ht="15" customHeight="1" x14ac:dyDescent="0.2">
      <c r="E55" s="40">
        <v>60</v>
      </c>
      <c r="F55" s="42">
        <f t="shared" si="4"/>
        <v>27.27272727272727</v>
      </c>
      <c r="G55" s="40">
        <v>3.3</v>
      </c>
      <c r="H55" s="43">
        <f t="shared" si="0"/>
        <v>5.5E-2</v>
      </c>
    </row>
    <row r="56" spans="5:8" ht="14.25" customHeight="1" x14ac:dyDescent="0.2">
      <c r="E56" s="40">
        <v>61</v>
      </c>
      <c r="F56" s="42">
        <f t="shared" si="4"/>
        <v>27.727272727272727</v>
      </c>
      <c r="G56" s="40">
        <v>3.3</v>
      </c>
      <c r="H56" s="43">
        <f t="shared" si="0"/>
        <v>5.4098360655737705E-2</v>
      </c>
    </row>
    <row r="57" spans="5:8" ht="14.25" customHeight="1" x14ac:dyDescent="0.2">
      <c r="E57" s="40">
        <v>62</v>
      </c>
      <c r="F57" s="42">
        <v>28.1</v>
      </c>
      <c r="G57" s="40">
        <v>3.3</v>
      </c>
      <c r="H57" s="43">
        <f t="shared" si="0"/>
        <v>5.32258064516129E-2</v>
      </c>
    </row>
    <row r="58" spans="5:8" ht="15" customHeight="1" x14ac:dyDescent="0.2">
      <c r="E58" s="40">
        <v>73</v>
      </c>
      <c r="F58" s="42">
        <v>33.1</v>
      </c>
      <c r="G58" s="40">
        <v>3.9</v>
      </c>
      <c r="H58" s="43">
        <f t="shared" si="0"/>
        <v>5.3424657534246571E-2</v>
      </c>
    </row>
    <row r="59" spans="5:8" ht="15.75" customHeight="1" x14ac:dyDescent="0.2">
      <c r="E59" s="40">
        <v>86</v>
      </c>
      <c r="F59" s="42">
        <v>39</v>
      </c>
      <c r="G59" s="40">
        <v>4.5</v>
      </c>
      <c r="H59" s="43">
        <f t="shared" si="0"/>
        <v>5.232558139534884E-2</v>
      </c>
    </row>
    <row r="60" spans="5:8" ht="15" customHeight="1" x14ac:dyDescent="0.2">
      <c r="E60" s="40">
        <v>100</v>
      </c>
      <c r="F60" s="42">
        <v>45.4</v>
      </c>
      <c r="G60" s="40">
        <v>5.0999999999999996</v>
      </c>
      <c r="H60" s="43">
        <f t="shared" si="0"/>
        <v>5.0999999999999997E-2</v>
      </c>
    </row>
    <row r="61" spans="5:8" ht="15" customHeight="1" x14ac:dyDescent="0.2">
      <c r="E61" s="40">
        <v>113</v>
      </c>
      <c r="F61" s="42">
        <v>51.3</v>
      </c>
      <c r="G61" s="40">
        <v>5.4</v>
      </c>
      <c r="H61" s="43">
        <f t="shared" si="0"/>
        <v>4.7787610619469033E-2</v>
      </c>
    </row>
    <row r="62" spans="5:8" ht="15" customHeight="1" x14ac:dyDescent="0.2">
      <c r="E62" s="40">
        <v>127</v>
      </c>
      <c r="F62" s="42">
        <v>57.6</v>
      </c>
      <c r="G62" s="40">
        <v>5.9</v>
      </c>
      <c r="H62" s="43">
        <f t="shared" si="0"/>
        <v>4.6456692913385826E-2</v>
      </c>
    </row>
    <row r="63" spans="5:8" ht="14.25" customHeight="1" x14ac:dyDescent="0.2">
      <c r="E63" s="40">
        <v>142</v>
      </c>
      <c r="F63" s="42">
        <v>64.400000000000006</v>
      </c>
      <c r="G63" s="40">
        <v>6.6</v>
      </c>
      <c r="H63" s="43">
        <f t="shared" si="0"/>
        <v>4.647887323943662E-2</v>
      </c>
    </row>
    <row r="64" spans="5:8" ht="15" customHeight="1" x14ac:dyDescent="0.2">
      <c r="E64" s="40">
        <v>156</v>
      </c>
      <c r="F64" s="42">
        <v>70.8</v>
      </c>
      <c r="G64" s="40">
        <v>7.1</v>
      </c>
      <c r="H64" s="43">
        <f t="shared" si="0"/>
        <v>4.5512820512820511E-2</v>
      </c>
    </row>
    <row r="65" spans="5:8" ht="14.25" customHeight="1" x14ac:dyDescent="0.2">
      <c r="E65" s="40">
        <v>171</v>
      </c>
      <c r="F65" s="42">
        <v>77.599999999999994</v>
      </c>
      <c r="G65" s="40">
        <v>7.8</v>
      </c>
      <c r="H65" s="43">
        <f t="shared" si="0"/>
        <v>4.5614035087719294E-2</v>
      </c>
    </row>
    <row r="66" spans="5:8" ht="14.25" customHeight="1" x14ac:dyDescent="0.2">
      <c r="E66" s="40">
        <v>186</v>
      </c>
      <c r="F66" s="42">
        <v>84.4</v>
      </c>
      <c r="G66" s="40">
        <v>8.5</v>
      </c>
      <c r="H66" s="43">
        <f t="shared" si="0"/>
        <v>4.5698924731182797E-2</v>
      </c>
    </row>
    <row r="67" spans="5:8" x14ac:dyDescent="0.2">
      <c r="E67" s="40">
        <v>200</v>
      </c>
      <c r="F67" s="42">
        <v>90.7</v>
      </c>
      <c r="G67" s="40">
        <v>9.1999999999999993</v>
      </c>
      <c r="H67" s="43">
        <f t="shared" si="0"/>
        <v>4.5999999999999999E-2</v>
      </c>
    </row>
    <row r="68" spans="5:8" x14ac:dyDescent="0.2">
      <c r="E68" s="40">
        <v>215</v>
      </c>
      <c r="F68" s="42">
        <v>97.5</v>
      </c>
      <c r="G68" s="40">
        <v>9.9</v>
      </c>
      <c r="H68" s="43">
        <f t="shared" si="0"/>
        <v>4.6046511627906982E-2</v>
      </c>
    </row>
    <row r="69" spans="5:8" x14ac:dyDescent="0.2">
      <c r="E69" s="40">
        <v>230</v>
      </c>
      <c r="F69" s="42">
        <v>104.3</v>
      </c>
      <c r="G69" s="40">
        <v>10.6</v>
      </c>
      <c r="H69" s="43">
        <f t="shared" si="0"/>
        <v>4.6086956521739129E-2</v>
      </c>
    </row>
    <row r="70" spans="5:8" x14ac:dyDescent="0.2">
      <c r="E70" s="40">
        <v>243</v>
      </c>
      <c r="F70" s="42">
        <v>110.2</v>
      </c>
      <c r="G70" s="40">
        <v>11.2</v>
      </c>
      <c r="H70" s="43">
        <f t="shared" si="0"/>
        <v>4.6090534979423864E-2</v>
      </c>
    </row>
    <row r="71" spans="5:8" x14ac:dyDescent="0.2">
      <c r="E71" s="40">
        <v>258</v>
      </c>
      <c r="F71" s="42">
        <v>117</v>
      </c>
      <c r="G71" s="40">
        <v>11.9</v>
      </c>
      <c r="H71" s="43">
        <f t="shared" si="0"/>
        <v>4.6124031007751941E-2</v>
      </c>
    </row>
    <row r="72" spans="5:8" x14ac:dyDescent="0.2">
      <c r="E72" s="40">
        <v>272</v>
      </c>
      <c r="F72" s="42">
        <v>123.4</v>
      </c>
      <c r="G72" s="40">
        <v>12.6</v>
      </c>
      <c r="H72" s="43">
        <f t="shared" si="0"/>
        <v>4.6323529411764708E-2</v>
      </c>
    </row>
    <row r="73" spans="5:8" x14ac:dyDescent="0.2">
      <c r="E73" s="40">
        <v>284</v>
      </c>
      <c r="F73" s="42">
        <v>158.80000000000001</v>
      </c>
      <c r="G73" s="40">
        <v>13.3</v>
      </c>
      <c r="H73" s="43">
        <f t="shared" si="0"/>
        <v>4.6830985915492958E-2</v>
      </c>
    </row>
    <row r="74" spans="5:8" x14ac:dyDescent="0.2">
      <c r="E74" s="40">
        <v>297</v>
      </c>
      <c r="F74" s="42">
        <v>134.69999999999999</v>
      </c>
      <c r="G74" s="40">
        <v>13.9</v>
      </c>
      <c r="H74" s="43">
        <f t="shared" si="0"/>
        <v>4.6801346801346802E-2</v>
      </c>
    </row>
    <row r="75" spans="5:8" x14ac:dyDescent="0.2">
      <c r="E75" s="40">
        <v>310</v>
      </c>
      <c r="F75" s="42">
        <v>140.6</v>
      </c>
      <c r="G75" s="40">
        <v>14.6</v>
      </c>
      <c r="H75" s="43">
        <f t="shared" ref="H75" si="5">G75/E75</f>
        <v>4.7096774193548387E-2</v>
      </c>
    </row>
    <row r="76" spans="5:8" x14ac:dyDescent="0.2">
      <c r="E76" s="40">
        <v>340</v>
      </c>
      <c r="F76" s="42">
        <f t="shared" ref="F76" si="6">E76/2.2</f>
        <v>154.54545454545453</v>
      </c>
      <c r="G76" s="40">
        <v>15.3</v>
      </c>
      <c r="H76" s="43">
        <f t="shared" si="0"/>
        <v>4.5000000000000005E-2</v>
      </c>
    </row>
    <row r="77" spans="5:8" x14ac:dyDescent="0.2">
      <c r="E77" s="40"/>
    </row>
  </sheetData>
  <sheetProtection algorithmName="SHA-512" hashValue="dfwNgEGHgiZV+epC1Yl1sWF6ZmH07L756JPdfmI/PEHOESccBSqP5jh0FUHnVUewFrmtXkESdhXewSJRaSEogw==" saltValue="IMJDFXc6EwWpQu5//JkwJA==" spinCount="100000" sheet="1" objects="1" scenarios="1" selectLockedCells="1"/>
  <mergeCells count="7">
    <mergeCell ref="A1:B1"/>
    <mergeCell ref="A22:D26"/>
    <mergeCell ref="A27:D30"/>
    <mergeCell ref="C5:D6"/>
    <mergeCell ref="E3:F3"/>
    <mergeCell ref="A12:B12"/>
    <mergeCell ref="A2:B2"/>
  </mergeCells>
  <conditionalFormatting sqref="A1:B1">
    <cfRule type="expression" dxfId="27" priority="2">
      <formula>W1&lt;2</formula>
    </cfRule>
    <cfRule type="expression" dxfId="26" priority="4">
      <formula>"ifs w1=1"</formula>
    </cfRule>
  </conditionalFormatting>
  <conditionalFormatting sqref="A12:B12">
    <cfRule type="expression" dxfId="25" priority="1">
      <formula>W1&gt;1</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2</xdr:col>
                    <xdr:colOff>381000</xdr:colOff>
                    <xdr:row>0</xdr:row>
                    <xdr:rowOff>0</xdr:rowOff>
                  </from>
                  <to>
                    <xdr:col>2</xdr:col>
                    <xdr:colOff>752475</xdr:colOff>
                    <xdr:row>1</xdr:row>
                    <xdr:rowOff>19050</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from>
                    <xdr:col>2</xdr:col>
                    <xdr:colOff>371475</xdr:colOff>
                    <xdr:row>11</xdr:row>
                    <xdr:rowOff>9525</xdr:rowOff>
                  </from>
                  <to>
                    <xdr:col>2</xdr:col>
                    <xdr:colOff>685800</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09A1-D429-45A6-A2FF-73280BFD80AC}">
  <dimension ref="A1:W54"/>
  <sheetViews>
    <sheetView showGridLines="0" zoomScaleNormal="100" workbookViewId="0">
      <selection activeCell="C4" sqref="C4"/>
    </sheetView>
  </sheetViews>
  <sheetFormatPr defaultRowHeight="14.25" x14ac:dyDescent="0.2"/>
  <cols>
    <col min="1" max="1" width="25.5703125" style="39" customWidth="1"/>
    <col min="2" max="3" width="9.140625" style="39"/>
    <col min="4" max="4" width="9.140625" style="39" customWidth="1"/>
    <col min="5" max="7" width="9.140625" style="39" hidden="1" customWidth="1"/>
    <col min="8" max="8" width="0" style="39" hidden="1" customWidth="1"/>
    <col min="9" max="10" width="9.140625" style="39"/>
    <col min="11" max="11" width="10.85546875" style="40" customWidth="1"/>
    <col min="12" max="12" width="12" style="40" customWidth="1"/>
    <col min="13" max="13" width="12" style="40" hidden="1" customWidth="1"/>
    <col min="14" max="14" width="12" style="40" customWidth="1"/>
    <col min="15" max="16" width="10.42578125" style="40" customWidth="1"/>
    <col min="17" max="17" width="10.28515625" style="39" customWidth="1"/>
    <col min="18" max="19" width="9.140625" style="39"/>
    <col min="20" max="20" width="13.42578125" style="39" customWidth="1"/>
    <col min="21" max="16384" width="9.140625" style="39"/>
  </cols>
  <sheetData>
    <row r="1" spans="1:23" ht="15" x14ac:dyDescent="0.25">
      <c r="E1" s="112" t="s">
        <v>32</v>
      </c>
      <c r="F1" s="112"/>
      <c r="K1" s="113" t="s">
        <v>18</v>
      </c>
      <c r="L1" s="113" t="s">
        <v>19</v>
      </c>
      <c r="O1" s="108"/>
      <c r="P1" s="108"/>
    </row>
    <row r="2" spans="1:23" ht="15.75" thickBot="1" x14ac:dyDescent="0.3">
      <c r="A2" s="48" t="s">
        <v>29</v>
      </c>
      <c r="B2" s="218">
        <f>'Minimum Ventilation CFMs'!B19</f>
        <v>2400</v>
      </c>
      <c r="E2" s="46" t="s">
        <v>30</v>
      </c>
      <c r="F2" s="46" t="s">
        <v>31</v>
      </c>
      <c r="J2" s="47" t="s">
        <v>17</v>
      </c>
      <c r="K2" s="113"/>
      <c r="L2" s="113"/>
      <c r="Q2" s="40"/>
    </row>
    <row r="3" spans="1:23" ht="15.75" thickTop="1" x14ac:dyDescent="0.25">
      <c r="A3" s="48"/>
      <c r="C3" s="47" t="s">
        <v>54</v>
      </c>
      <c r="E3" s="40">
        <v>100</v>
      </c>
      <c r="F3" s="40">
        <v>100</v>
      </c>
      <c r="H3" s="40"/>
      <c r="J3" s="40">
        <v>8</v>
      </c>
      <c r="K3" s="40">
        <v>500</v>
      </c>
      <c r="L3" s="74"/>
      <c r="M3" s="40">
        <f>(IF(L3&gt;0,L3,K3))</f>
        <v>500</v>
      </c>
      <c r="O3" s="114" t="s">
        <v>81</v>
      </c>
      <c r="P3" s="115"/>
      <c r="Q3" s="115"/>
      <c r="R3" s="116"/>
    </row>
    <row r="4" spans="1:23" ht="15" x14ac:dyDescent="0.25">
      <c r="A4" s="48" t="s">
        <v>74</v>
      </c>
      <c r="B4" s="76">
        <v>18</v>
      </c>
      <c r="C4" s="76">
        <v>1</v>
      </c>
      <c r="E4" s="40">
        <v>99</v>
      </c>
      <c r="F4" s="40">
        <v>99</v>
      </c>
      <c r="G4" s="40"/>
      <c r="H4" s="40"/>
      <c r="J4" s="40">
        <v>10</v>
      </c>
      <c r="K4" s="40">
        <v>1200</v>
      </c>
      <c r="L4" s="74"/>
      <c r="M4" s="40">
        <f t="shared" ref="M4:M13" si="0">(IF(L4&gt;0,L4,K4))</f>
        <v>1200</v>
      </c>
      <c r="O4" s="117"/>
      <c r="P4" s="118"/>
      <c r="Q4" s="118"/>
      <c r="R4" s="119"/>
    </row>
    <row r="5" spans="1:23" ht="15" x14ac:dyDescent="0.25">
      <c r="A5" s="45" t="s">
        <v>31</v>
      </c>
      <c r="B5" s="218">
        <f>_xlfn.XLOOKUP(B4,J3:J13,M3:M13,0)*C4</f>
        <v>3600</v>
      </c>
      <c r="E5" s="40">
        <v>98</v>
      </c>
      <c r="F5" s="40">
        <v>98</v>
      </c>
      <c r="G5" s="40"/>
      <c r="H5" s="40"/>
      <c r="J5" s="40">
        <v>12</v>
      </c>
      <c r="K5" s="40">
        <v>1600</v>
      </c>
      <c r="L5" s="74"/>
      <c r="M5" s="40">
        <f t="shared" si="0"/>
        <v>1600</v>
      </c>
      <c r="O5" s="117"/>
      <c r="P5" s="118"/>
      <c r="Q5" s="118"/>
      <c r="R5" s="119"/>
    </row>
    <row r="6" spans="1:23" ht="15.75" thickBot="1" x14ac:dyDescent="0.3">
      <c r="A6" s="48" t="s">
        <v>75</v>
      </c>
      <c r="B6" s="76"/>
      <c r="C6" s="76">
        <v>1</v>
      </c>
      <c r="E6" s="40">
        <v>97</v>
      </c>
      <c r="F6" s="40">
        <v>97</v>
      </c>
      <c r="G6" s="40"/>
      <c r="H6" s="40"/>
      <c r="J6" s="40">
        <v>16</v>
      </c>
      <c r="K6" s="40">
        <v>2700</v>
      </c>
      <c r="L6" s="74"/>
      <c r="M6" s="40">
        <f t="shared" si="0"/>
        <v>2700</v>
      </c>
      <c r="O6" s="120"/>
      <c r="P6" s="121"/>
      <c r="Q6" s="121"/>
      <c r="R6" s="122"/>
    </row>
    <row r="7" spans="1:23" ht="15.75" thickTop="1" x14ac:dyDescent="0.25">
      <c r="A7" s="45" t="s">
        <v>31</v>
      </c>
      <c r="B7" s="218">
        <f>_xlfn.XLOOKUP(B6,J3:J13,M3:M13,0)*C6</f>
        <v>0</v>
      </c>
      <c r="E7" s="40">
        <v>96</v>
      </c>
      <c r="F7" s="40">
        <v>96</v>
      </c>
      <c r="G7" s="40"/>
      <c r="H7" s="40"/>
      <c r="J7" s="40">
        <v>18</v>
      </c>
      <c r="K7" s="40">
        <v>3600</v>
      </c>
      <c r="L7" s="74"/>
      <c r="M7" s="40">
        <f t="shared" si="0"/>
        <v>3600</v>
      </c>
      <c r="O7" s="44"/>
      <c r="P7" s="61"/>
      <c r="Q7" s="40"/>
    </row>
    <row r="8" spans="1:23" ht="15" x14ac:dyDescent="0.25">
      <c r="A8" s="48" t="s">
        <v>35</v>
      </c>
      <c r="B8" s="218">
        <f>B5+B7</f>
        <v>3600</v>
      </c>
      <c r="E8" s="40">
        <v>95</v>
      </c>
      <c r="F8" s="40">
        <v>95</v>
      </c>
      <c r="G8" s="40"/>
      <c r="H8" s="40"/>
      <c r="J8" s="40">
        <v>24</v>
      </c>
      <c r="K8" s="40">
        <v>6000</v>
      </c>
      <c r="L8" s="74"/>
      <c r="M8" s="40">
        <f t="shared" si="0"/>
        <v>6000</v>
      </c>
      <c r="O8" s="44"/>
    </row>
    <row r="9" spans="1:23" ht="15" x14ac:dyDescent="0.25">
      <c r="A9" s="49"/>
      <c r="E9" s="40">
        <v>94</v>
      </c>
      <c r="F9" s="40">
        <v>94</v>
      </c>
      <c r="G9" s="40"/>
      <c r="H9" s="40"/>
      <c r="J9" s="40">
        <v>36</v>
      </c>
      <c r="K9" s="40">
        <v>10000</v>
      </c>
      <c r="L9" s="74"/>
      <c r="M9" s="40">
        <f t="shared" si="0"/>
        <v>10000</v>
      </c>
      <c r="O9" s="44"/>
    </row>
    <row r="10" spans="1:23" ht="15" x14ac:dyDescent="0.25">
      <c r="A10" s="48" t="s">
        <v>37</v>
      </c>
      <c r="B10" s="50">
        <f>B2/B8*100</f>
        <v>66.666666666666657</v>
      </c>
      <c r="E10" s="40">
        <v>93</v>
      </c>
      <c r="F10" s="40">
        <v>93</v>
      </c>
      <c r="G10" s="40"/>
      <c r="H10" s="40"/>
      <c r="J10" s="40">
        <v>48</v>
      </c>
      <c r="K10" s="40">
        <v>18000</v>
      </c>
      <c r="L10" s="74"/>
      <c r="M10" s="40">
        <f t="shared" si="0"/>
        <v>18000</v>
      </c>
      <c r="O10" s="44"/>
    </row>
    <row r="11" spans="1:23" ht="15.75" thickBot="1" x14ac:dyDescent="0.3">
      <c r="A11"/>
      <c r="B11"/>
      <c r="C11"/>
      <c r="D11"/>
      <c r="E11" s="40">
        <v>92</v>
      </c>
      <c r="F11" s="40">
        <v>92</v>
      </c>
      <c r="G11" s="40"/>
      <c r="H11" s="40"/>
      <c r="J11" s="40">
        <v>50</v>
      </c>
      <c r="K11" s="40">
        <v>23000</v>
      </c>
      <c r="L11" s="74"/>
      <c r="M11" s="40">
        <f t="shared" si="0"/>
        <v>23000</v>
      </c>
      <c r="O11" s="44"/>
      <c r="T11" s="23"/>
      <c r="U11" s="24"/>
      <c r="V11" s="24"/>
      <c r="W11" s="24"/>
    </row>
    <row r="12" spans="1:23" ht="20.25" thickTop="1" thickBot="1" x14ac:dyDescent="0.35">
      <c r="A12" s="123" t="s">
        <v>46</v>
      </c>
      <c r="B12" s="124"/>
      <c r="E12" s="40">
        <v>91</v>
      </c>
      <c r="F12" s="40">
        <v>91</v>
      </c>
      <c r="G12" s="40"/>
      <c r="H12" s="40"/>
      <c r="J12" s="40">
        <v>55</v>
      </c>
      <c r="K12" s="40">
        <v>24000</v>
      </c>
      <c r="L12" s="74"/>
      <c r="M12" s="40">
        <f t="shared" si="0"/>
        <v>24000</v>
      </c>
      <c r="O12" s="43"/>
      <c r="T12" s="25"/>
      <c r="U12" s="25"/>
      <c r="V12" s="25"/>
      <c r="W12" s="25"/>
    </row>
    <row r="13" spans="1:23" ht="15.75" thickTop="1" x14ac:dyDescent="0.25">
      <c r="A13" s="48" t="s">
        <v>55</v>
      </c>
      <c r="B13" s="218">
        <f>_xlfn.XLOOKUP(B10,F3:F54,E3:E54,"Add Fan?",1,1)</f>
        <v>70</v>
      </c>
      <c r="E13" s="40">
        <v>90</v>
      </c>
      <c r="F13" s="40">
        <v>90</v>
      </c>
      <c r="G13" s="40"/>
      <c r="H13" s="40"/>
      <c r="I13" s="49" t="s">
        <v>34</v>
      </c>
      <c r="J13" s="74"/>
      <c r="K13" s="74"/>
      <c r="M13" s="40">
        <f t="shared" si="0"/>
        <v>0</v>
      </c>
      <c r="T13" s="24"/>
      <c r="U13" s="24"/>
      <c r="V13" s="24"/>
      <c r="W13" s="24"/>
    </row>
    <row r="14" spans="1:23" ht="15" x14ac:dyDescent="0.25">
      <c r="A14" s="48" t="s">
        <v>42</v>
      </c>
      <c r="B14" s="221">
        <f>0.01*VLOOKUP(B13,E3:F53,2,FALSE)*B8</f>
        <v>2448</v>
      </c>
      <c r="E14" s="40">
        <v>89</v>
      </c>
      <c r="F14" s="40">
        <v>89</v>
      </c>
      <c r="G14" s="40"/>
      <c r="H14" s="40"/>
      <c r="J14" s="40"/>
      <c r="T14" s="25"/>
      <c r="U14" s="25"/>
      <c r="V14" s="25"/>
      <c r="W14" s="25"/>
    </row>
    <row r="15" spans="1:23" ht="15" thickBot="1" x14ac:dyDescent="0.25">
      <c r="E15" s="40">
        <v>88</v>
      </c>
      <c r="F15" s="40">
        <v>88</v>
      </c>
      <c r="G15" s="40"/>
      <c r="H15" s="40"/>
      <c r="J15" s="40"/>
    </row>
    <row r="16" spans="1:23" ht="20.25" thickTop="1" thickBot="1" x14ac:dyDescent="0.35">
      <c r="A16" s="123" t="s">
        <v>36</v>
      </c>
      <c r="B16" s="124"/>
      <c r="E16" s="40">
        <v>87</v>
      </c>
      <c r="F16" s="40">
        <v>87</v>
      </c>
      <c r="G16" s="40"/>
      <c r="H16" s="40"/>
      <c r="J16" s="40"/>
    </row>
    <row r="17" spans="1:21" ht="15" customHeight="1" thickTop="1" x14ac:dyDescent="0.2">
      <c r="A17" s="108" t="s">
        <v>41</v>
      </c>
      <c r="B17" s="108"/>
      <c r="C17" s="108"/>
      <c r="E17" s="40">
        <v>86</v>
      </c>
      <c r="F17" s="40">
        <v>86</v>
      </c>
      <c r="G17" s="40"/>
      <c r="H17" s="40"/>
      <c r="J17" s="40"/>
      <c r="N17" s="51"/>
      <c r="O17" s="51"/>
      <c r="P17" s="51"/>
      <c r="Q17" s="52"/>
      <c r="R17" s="52"/>
      <c r="S17" s="51"/>
      <c r="T17" s="51"/>
    </row>
    <row r="18" spans="1:21" ht="15" customHeight="1" x14ac:dyDescent="0.2">
      <c r="E18" s="40">
        <v>85</v>
      </c>
      <c r="F18" s="40">
        <v>85</v>
      </c>
      <c r="G18" s="40"/>
      <c r="H18" s="40"/>
      <c r="J18" s="51"/>
      <c r="K18" s="51"/>
      <c r="L18" s="51"/>
      <c r="M18" s="51"/>
      <c r="N18" s="51"/>
      <c r="O18" s="51"/>
      <c r="P18" s="51"/>
      <c r="Q18" s="52"/>
      <c r="R18" s="52"/>
      <c r="S18" s="51"/>
      <c r="T18" s="51"/>
      <c r="U18" s="53"/>
    </row>
    <row r="19" spans="1:21" ht="15" customHeight="1" x14ac:dyDescent="0.25">
      <c r="A19" s="48" t="s">
        <v>37</v>
      </c>
      <c r="B19" s="222">
        <f>$B$10</f>
        <v>66.666666666666657</v>
      </c>
      <c r="E19" s="40">
        <v>84</v>
      </c>
      <c r="F19" s="40">
        <v>84</v>
      </c>
      <c r="G19" s="40"/>
      <c r="H19" s="40"/>
      <c r="J19" s="51"/>
      <c r="K19" s="51"/>
      <c r="L19" s="51"/>
      <c r="M19" s="51"/>
      <c r="T19" s="53"/>
      <c r="U19" s="53"/>
    </row>
    <row r="20" spans="1:21" ht="15" customHeight="1" x14ac:dyDescent="0.2">
      <c r="E20" s="40">
        <v>83</v>
      </c>
      <c r="F20" s="40">
        <v>83</v>
      </c>
      <c r="G20" s="40"/>
      <c r="H20" s="40"/>
      <c r="J20" s="40"/>
      <c r="T20" s="53"/>
      <c r="U20" s="53"/>
    </row>
    <row r="21" spans="1:21" ht="15" customHeight="1" x14ac:dyDescent="0.35">
      <c r="A21" s="48" t="s">
        <v>38</v>
      </c>
      <c r="B21" s="39">
        <v>300</v>
      </c>
      <c r="E21" s="40">
        <v>82</v>
      </c>
      <c r="F21" s="40">
        <v>82</v>
      </c>
      <c r="G21" s="40"/>
      <c r="H21" s="40"/>
      <c r="T21" s="54"/>
      <c r="U21" s="54"/>
    </row>
    <row r="22" spans="1:21" ht="15" customHeight="1" x14ac:dyDescent="0.2">
      <c r="E22" s="40">
        <v>81</v>
      </c>
      <c r="F22" s="40">
        <v>81</v>
      </c>
      <c r="G22" s="40"/>
      <c r="H22" s="40"/>
    </row>
    <row r="23" spans="1:21" ht="15" customHeight="1" x14ac:dyDescent="0.25">
      <c r="A23" s="48" t="s">
        <v>39</v>
      </c>
      <c r="B23" s="221">
        <f>B21*(B19*0.01)</f>
        <v>200</v>
      </c>
      <c r="C23" s="39" t="s">
        <v>78</v>
      </c>
      <c r="E23" s="40">
        <v>80</v>
      </c>
      <c r="F23" s="40">
        <v>80</v>
      </c>
      <c r="G23" s="40"/>
      <c r="H23" s="40"/>
      <c r="J23" s="40"/>
    </row>
    <row r="24" spans="1:21" ht="15" customHeight="1" x14ac:dyDescent="0.25">
      <c r="A24" s="48" t="s">
        <v>40</v>
      </c>
      <c r="B24" s="221">
        <f>B21-B23</f>
        <v>100</v>
      </c>
      <c r="C24" s="39" t="s">
        <v>78</v>
      </c>
      <c r="E24" s="40">
        <v>79</v>
      </c>
      <c r="F24" s="40">
        <v>79</v>
      </c>
      <c r="G24" s="40"/>
      <c r="H24" s="40"/>
      <c r="J24" s="40"/>
    </row>
    <row r="25" spans="1:21" ht="15" customHeight="1" x14ac:dyDescent="0.2">
      <c r="E25" s="40">
        <v>78</v>
      </c>
      <c r="F25" s="40">
        <v>78</v>
      </c>
      <c r="G25" s="40"/>
      <c r="H25" s="40"/>
      <c r="J25" s="40"/>
    </row>
    <row r="26" spans="1:21" ht="15" customHeight="1" x14ac:dyDescent="0.25">
      <c r="A26" s="58" t="s">
        <v>68</v>
      </c>
      <c r="B26" s="59"/>
      <c r="C26" s="60"/>
      <c r="D26" s="60"/>
      <c r="E26" s="40">
        <v>77</v>
      </c>
      <c r="F26" s="40">
        <v>77</v>
      </c>
      <c r="G26" s="40"/>
      <c r="H26" s="40"/>
      <c r="J26" s="40"/>
    </row>
    <row r="27" spans="1:21" ht="15" customHeight="1" x14ac:dyDescent="0.2">
      <c r="A27" s="106" t="s">
        <v>73</v>
      </c>
      <c r="B27" s="106"/>
      <c r="C27" s="106"/>
      <c r="D27" s="106"/>
      <c r="E27" s="40">
        <v>76</v>
      </c>
      <c r="F27" s="40">
        <v>76</v>
      </c>
      <c r="G27" s="40"/>
      <c r="H27" s="40"/>
    </row>
    <row r="28" spans="1:21" ht="15" customHeight="1" x14ac:dyDescent="0.2">
      <c r="A28" s="106"/>
      <c r="B28" s="106"/>
      <c r="C28" s="106"/>
      <c r="D28" s="106"/>
      <c r="E28" s="40">
        <v>75</v>
      </c>
      <c r="F28" s="40">
        <v>75</v>
      </c>
      <c r="G28" s="40"/>
      <c r="H28" s="40"/>
    </row>
    <row r="29" spans="1:21" x14ac:dyDescent="0.2">
      <c r="A29" s="106"/>
      <c r="B29" s="106"/>
      <c r="C29" s="106"/>
      <c r="D29" s="106"/>
      <c r="E29" s="40">
        <v>74</v>
      </c>
      <c r="F29" s="40">
        <f>F28-1.4</f>
        <v>73.599999999999994</v>
      </c>
      <c r="G29" s="40"/>
      <c r="H29" s="40"/>
    </row>
    <row r="30" spans="1:21" x14ac:dyDescent="0.2">
      <c r="A30" s="106"/>
      <c r="B30" s="106"/>
      <c r="C30" s="106"/>
      <c r="D30" s="106"/>
      <c r="E30" s="40">
        <v>73</v>
      </c>
      <c r="F30" s="40">
        <f t="shared" ref="F30:F32" si="1">F29-1.4</f>
        <v>72.199999999999989</v>
      </c>
      <c r="G30" s="40"/>
      <c r="H30" s="40"/>
    </row>
    <row r="31" spans="1:21" x14ac:dyDescent="0.2">
      <c r="A31" s="106"/>
      <c r="B31" s="106"/>
      <c r="C31" s="106"/>
      <c r="D31" s="106"/>
      <c r="E31" s="40">
        <v>72</v>
      </c>
      <c r="F31" s="40">
        <f t="shared" si="1"/>
        <v>70.799999999999983</v>
      </c>
      <c r="G31" s="40"/>
      <c r="H31" s="40"/>
    </row>
    <row r="32" spans="1:21" x14ac:dyDescent="0.2">
      <c r="A32" s="106" t="s">
        <v>70</v>
      </c>
      <c r="B32" s="106"/>
      <c r="C32" s="106"/>
      <c r="D32" s="106"/>
      <c r="E32" s="40">
        <v>71</v>
      </c>
      <c r="F32" s="40">
        <f t="shared" si="1"/>
        <v>69.399999999999977</v>
      </c>
      <c r="G32" s="40"/>
      <c r="H32" s="40"/>
    </row>
    <row r="33" spans="1:8" x14ac:dyDescent="0.2">
      <c r="A33" s="106"/>
      <c r="B33" s="106"/>
      <c r="C33" s="106"/>
      <c r="D33" s="106"/>
      <c r="E33" s="40">
        <v>70</v>
      </c>
      <c r="F33" s="40">
        <v>68</v>
      </c>
      <c r="G33" s="40"/>
      <c r="H33" s="40"/>
    </row>
    <row r="34" spans="1:8" x14ac:dyDescent="0.2">
      <c r="A34" s="106"/>
      <c r="B34" s="106"/>
      <c r="C34" s="106"/>
      <c r="D34" s="106"/>
      <c r="E34" s="40">
        <v>69</v>
      </c>
      <c r="F34" s="40">
        <f>F33-1.4</f>
        <v>66.599999999999994</v>
      </c>
      <c r="G34" s="40"/>
      <c r="H34" s="40"/>
    </row>
    <row r="35" spans="1:8" x14ac:dyDescent="0.2">
      <c r="A35" s="106"/>
      <c r="B35" s="106"/>
      <c r="C35" s="106"/>
      <c r="D35" s="106"/>
      <c r="E35" s="40">
        <v>68</v>
      </c>
      <c r="F35" s="40">
        <f t="shared" ref="F35:F37" si="2">F34-1.4</f>
        <v>65.199999999999989</v>
      </c>
      <c r="G35" s="40"/>
      <c r="H35" s="40"/>
    </row>
    <row r="36" spans="1:8" ht="14.25" customHeight="1" x14ac:dyDescent="0.2">
      <c r="A36" s="106" t="s">
        <v>96</v>
      </c>
      <c r="B36" s="106"/>
      <c r="C36" s="106"/>
      <c r="D36" s="106"/>
      <c r="E36" s="40">
        <v>67</v>
      </c>
      <c r="F36" s="40">
        <f t="shared" si="2"/>
        <v>63.79999999999999</v>
      </c>
      <c r="G36" s="40"/>
      <c r="H36" s="40"/>
    </row>
    <row r="37" spans="1:8" x14ac:dyDescent="0.2">
      <c r="A37" s="106"/>
      <c r="B37" s="106"/>
      <c r="C37" s="106"/>
      <c r="D37" s="106"/>
      <c r="E37" s="40">
        <v>66</v>
      </c>
      <c r="F37" s="40">
        <f t="shared" si="2"/>
        <v>62.399999999999991</v>
      </c>
      <c r="G37" s="40"/>
      <c r="H37" s="40"/>
    </row>
    <row r="38" spans="1:8" x14ac:dyDescent="0.2">
      <c r="A38" s="106"/>
      <c r="B38" s="106"/>
      <c r="C38" s="106"/>
      <c r="D38" s="106"/>
      <c r="E38" s="40">
        <v>65</v>
      </c>
      <c r="F38" s="40">
        <v>61</v>
      </c>
      <c r="G38" s="40"/>
      <c r="H38" s="40"/>
    </row>
    <row r="39" spans="1:8" ht="16.5" customHeight="1" x14ac:dyDescent="0.2">
      <c r="A39" s="106"/>
      <c r="B39" s="106"/>
      <c r="C39" s="106"/>
      <c r="D39" s="106"/>
      <c r="E39" s="40">
        <v>64</v>
      </c>
      <c r="F39" s="40">
        <f>F38-1.4</f>
        <v>59.6</v>
      </c>
      <c r="G39" s="40"/>
      <c r="H39" s="40"/>
    </row>
    <row r="40" spans="1:8" x14ac:dyDescent="0.2">
      <c r="A40" s="106"/>
      <c r="B40" s="106"/>
      <c r="C40" s="106"/>
      <c r="D40" s="106"/>
      <c r="E40" s="40">
        <v>63</v>
      </c>
      <c r="F40" s="40">
        <f t="shared" ref="F40:F42" si="3">F39-1.4</f>
        <v>58.2</v>
      </c>
      <c r="G40" s="40"/>
      <c r="H40" s="40"/>
    </row>
    <row r="41" spans="1:8" x14ac:dyDescent="0.2">
      <c r="E41" s="40">
        <v>62</v>
      </c>
      <c r="F41" s="40">
        <f t="shared" si="3"/>
        <v>56.800000000000004</v>
      </c>
      <c r="G41" s="40"/>
      <c r="H41" s="40"/>
    </row>
    <row r="42" spans="1:8" x14ac:dyDescent="0.2">
      <c r="E42" s="40">
        <v>61</v>
      </c>
      <c r="F42" s="40">
        <f t="shared" si="3"/>
        <v>55.400000000000006</v>
      </c>
      <c r="G42" s="40"/>
      <c r="H42" s="40"/>
    </row>
    <row r="43" spans="1:8" x14ac:dyDescent="0.2">
      <c r="E43" s="40">
        <v>60</v>
      </c>
      <c r="F43" s="40">
        <v>54</v>
      </c>
      <c r="G43" s="40"/>
      <c r="H43" s="40"/>
    </row>
    <row r="44" spans="1:8" x14ac:dyDescent="0.2">
      <c r="E44" s="40">
        <v>59</v>
      </c>
      <c r="F44" s="40">
        <f>F43-1.5</f>
        <v>52.5</v>
      </c>
      <c r="G44" s="40"/>
      <c r="H44" s="40"/>
    </row>
    <row r="45" spans="1:8" x14ac:dyDescent="0.2">
      <c r="E45" s="40">
        <v>58</v>
      </c>
      <c r="F45" s="40">
        <f t="shared" ref="F45:F53" si="4">F44-1.5</f>
        <v>51</v>
      </c>
      <c r="G45" s="40"/>
      <c r="H45" s="40"/>
    </row>
    <row r="46" spans="1:8" x14ac:dyDescent="0.2">
      <c r="E46" s="40">
        <v>57</v>
      </c>
      <c r="F46" s="40">
        <f t="shared" si="4"/>
        <v>49.5</v>
      </c>
      <c r="G46" s="40"/>
      <c r="H46" s="40"/>
    </row>
    <row r="47" spans="1:8" x14ac:dyDescent="0.2">
      <c r="E47" s="40">
        <v>56</v>
      </c>
      <c r="F47" s="40">
        <f t="shared" si="4"/>
        <v>48</v>
      </c>
      <c r="G47" s="40"/>
      <c r="H47" s="40"/>
    </row>
    <row r="48" spans="1:8" x14ac:dyDescent="0.2">
      <c r="E48" s="40">
        <v>55</v>
      </c>
      <c r="F48" s="40">
        <f t="shared" si="4"/>
        <v>46.5</v>
      </c>
      <c r="G48" s="40"/>
      <c r="H48" s="40"/>
    </row>
    <row r="49" spans="5:8" x14ac:dyDescent="0.2">
      <c r="E49" s="40">
        <v>54</v>
      </c>
      <c r="F49" s="40">
        <f t="shared" si="4"/>
        <v>45</v>
      </c>
      <c r="G49" s="40"/>
      <c r="H49" s="40"/>
    </row>
    <row r="50" spans="5:8" x14ac:dyDescent="0.2">
      <c r="E50" s="40">
        <v>53</v>
      </c>
      <c r="F50" s="40">
        <f t="shared" si="4"/>
        <v>43.5</v>
      </c>
      <c r="G50" s="40"/>
      <c r="H50" s="40"/>
    </row>
    <row r="51" spans="5:8" x14ac:dyDescent="0.2">
      <c r="E51" s="40">
        <v>52</v>
      </c>
      <c r="F51" s="40">
        <f t="shared" si="4"/>
        <v>42</v>
      </c>
      <c r="G51" s="40"/>
      <c r="H51" s="40"/>
    </row>
    <row r="52" spans="5:8" x14ac:dyDescent="0.2">
      <c r="E52" s="40">
        <v>51</v>
      </c>
      <c r="F52" s="40">
        <f t="shared" si="4"/>
        <v>40.5</v>
      </c>
      <c r="G52" s="40"/>
      <c r="H52" s="40"/>
    </row>
    <row r="53" spans="5:8" x14ac:dyDescent="0.2">
      <c r="E53" s="40">
        <v>50</v>
      </c>
      <c r="F53" s="40">
        <f t="shared" si="4"/>
        <v>39</v>
      </c>
      <c r="G53" s="40"/>
      <c r="H53" s="40"/>
    </row>
    <row r="54" spans="5:8" x14ac:dyDescent="0.2">
      <c r="E54" s="40" t="s">
        <v>33</v>
      </c>
      <c r="F54" s="40">
        <v>38</v>
      </c>
      <c r="G54" s="40"/>
    </row>
  </sheetData>
  <sheetProtection algorithmName="SHA-512" hashValue="A0ogLS9UFVG3GiBFlrcL3QkehBbQjnQUGyvzfkj5/HsQjzpFtzRMrIDe2wLwRIaJEUcZg/fWVzd+VJ/D3s2WrA==" saltValue="7mxnW0fGYd5XY3ykkB24aA==" spinCount="100000" sheet="1" objects="1" scenarios="1"/>
  <mergeCells count="11">
    <mergeCell ref="A36:D40"/>
    <mergeCell ref="A27:D31"/>
    <mergeCell ref="A32:D35"/>
    <mergeCell ref="O3:R6"/>
    <mergeCell ref="A16:B16"/>
    <mergeCell ref="A12:B12"/>
    <mergeCell ref="O1:P1"/>
    <mergeCell ref="E1:F1"/>
    <mergeCell ref="A17:C17"/>
    <mergeCell ref="K1:K2"/>
    <mergeCell ref="L1:L2"/>
  </mergeCells>
  <conditionalFormatting sqref="B10">
    <cfRule type="cellIs" dxfId="24" priority="2" operator="greaterThan">
      <formula>100</formula>
    </cfRule>
    <cfRule type="cellIs" dxfId="23" priority="3" operator="lessThan">
      <formula>39</formula>
    </cfRule>
  </conditionalFormatting>
  <conditionalFormatting sqref="B13">
    <cfRule type="containsText" dxfId="22" priority="1" operator="containsText" text="Timer?">
      <formula>NOT(ISERROR(SEARCH("Timer?",B13)))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369A-2995-4D68-8A70-9BCCD1177CF8}">
  <dimension ref="A1:AB46"/>
  <sheetViews>
    <sheetView showGridLines="0" zoomScaleNormal="100" workbookViewId="0">
      <selection activeCell="D4" sqref="D4"/>
    </sheetView>
  </sheetViews>
  <sheetFormatPr defaultRowHeight="15" x14ac:dyDescent="0.25"/>
  <cols>
    <col min="1" max="1" width="9.140625" customWidth="1"/>
    <col min="2" max="2" width="15.7109375" customWidth="1"/>
    <col min="3" max="3" width="9.140625" customWidth="1"/>
    <col min="4" max="4" width="9.42578125" customWidth="1"/>
    <col min="5" max="10" width="9.28515625" customWidth="1"/>
    <col min="12" max="12" width="12.7109375" customWidth="1"/>
    <col min="15" max="15" width="10.42578125" customWidth="1"/>
    <col min="16" max="16" width="16.7109375" customWidth="1"/>
    <col min="17" max="19" width="9.28515625" bestFit="1" customWidth="1"/>
    <col min="23" max="23" width="8.140625" hidden="1" customWidth="1"/>
  </cols>
  <sheetData>
    <row r="1" spans="2:22" ht="24.75" customHeight="1" x14ac:dyDescent="0.35">
      <c r="B1" s="160" t="s">
        <v>43</v>
      </c>
      <c r="C1" s="160"/>
      <c r="D1" s="160"/>
      <c r="G1" s="161" t="s">
        <v>68</v>
      </c>
      <c r="H1" s="161"/>
      <c r="I1" s="60"/>
      <c r="J1" s="60"/>
    </row>
    <row r="2" spans="2:22" ht="24.75" customHeight="1" thickBot="1" x14ac:dyDescent="0.3">
      <c r="B2" s="141" t="s">
        <v>44</v>
      </c>
      <c r="C2" s="141"/>
      <c r="D2" s="85">
        <v>20</v>
      </c>
      <c r="G2" s="162" t="s">
        <v>71</v>
      </c>
      <c r="H2" s="162"/>
      <c r="I2" s="162"/>
      <c r="J2" s="162"/>
    </row>
    <row r="3" spans="2:22" ht="24.75" customHeight="1" thickTop="1" x14ac:dyDescent="0.25">
      <c r="B3" s="141" t="s">
        <v>45</v>
      </c>
      <c r="C3" s="141"/>
      <c r="D3" s="85">
        <v>2</v>
      </c>
      <c r="G3" s="162"/>
      <c r="H3" s="162"/>
      <c r="I3" s="162"/>
      <c r="J3" s="162"/>
      <c r="L3" s="151" t="s">
        <v>89</v>
      </c>
      <c r="M3" s="152"/>
      <c r="N3" s="152"/>
      <c r="O3" s="152"/>
      <c r="P3" s="153"/>
    </row>
    <row r="4" spans="2:22" ht="24.75" customHeight="1" x14ac:dyDescent="0.25">
      <c r="B4" s="141" t="s">
        <v>47</v>
      </c>
      <c r="C4" s="141"/>
      <c r="D4" s="85">
        <v>25</v>
      </c>
      <c r="G4" s="163" t="s">
        <v>72</v>
      </c>
      <c r="H4" s="163"/>
      <c r="I4" s="163"/>
      <c r="J4" s="163"/>
      <c r="L4" s="154"/>
      <c r="M4" s="155"/>
      <c r="N4" s="155"/>
      <c r="O4" s="155"/>
      <c r="P4" s="156"/>
    </row>
    <row r="5" spans="2:22" ht="24.75" customHeight="1" x14ac:dyDescent="0.25">
      <c r="B5" s="141" t="s">
        <v>11</v>
      </c>
      <c r="C5" s="141"/>
      <c r="D5" s="85">
        <v>5</v>
      </c>
      <c r="G5" s="163"/>
      <c r="H5" s="163"/>
      <c r="I5" s="163"/>
      <c r="J5" s="163"/>
      <c r="L5" s="154"/>
      <c r="M5" s="155"/>
      <c r="N5" s="155"/>
      <c r="O5" s="155"/>
      <c r="P5" s="156"/>
    </row>
    <row r="6" spans="2:22" ht="24.75" customHeight="1" thickBot="1" x14ac:dyDescent="0.3">
      <c r="B6" s="141" t="s">
        <v>90</v>
      </c>
      <c r="C6" s="141"/>
      <c r="D6" s="85">
        <v>700</v>
      </c>
      <c r="G6" s="163" t="s">
        <v>91</v>
      </c>
      <c r="H6" s="163"/>
      <c r="I6" s="163"/>
      <c r="J6" s="163"/>
      <c r="L6" s="157"/>
      <c r="M6" s="158"/>
      <c r="N6" s="158"/>
      <c r="O6" s="158"/>
      <c r="P6" s="159"/>
    </row>
    <row r="7" spans="2:22" ht="24.75" customHeight="1" thickTop="1" x14ac:dyDescent="0.25">
      <c r="G7" s="163"/>
      <c r="H7" s="163"/>
      <c r="I7" s="163"/>
      <c r="J7" s="163"/>
    </row>
    <row r="9" spans="2:22" ht="24.95" customHeight="1" thickBot="1" x14ac:dyDescent="0.3">
      <c r="B9" s="148" t="s">
        <v>0</v>
      </c>
      <c r="C9" s="148"/>
      <c r="D9" s="148"/>
      <c r="E9" s="133" t="s">
        <v>1</v>
      </c>
      <c r="F9" s="149" t="s">
        <v>2</v>
      </c>
      <c r="G9" s="149"/>
      <c r="H9" s="149"/>
      <c r="I9" s="1"/>
      <c r="J9" s="1"/>
    </row>
    <row r="10" spans="2:22" ht="24.95" customHeight="1" x14ac:dyDescent="0.25">
      <c r="B10" s="132" t="s">
        <v>3</v>
      </c>
      <c r="C10" s="132"/>
      <c r="D10" s="132"/>
      <c r="E10" s="133"/>
      <c r="F10" s="149"/>
      <c r="G10" s="149"/>
      <c r="H10" s="149"/>
      <c r="I10" s="1"/>
      <c r="J10" s="1"/>
      <c r="R10" s="142" t="s">
        <v>82</v>
      </c>
      <c r="S10" s="143"/>
      <c r="T10" s="143"/>
      <c r="U10" s="143"/>
      <c r="V10" s="144"/>
    </row>
    <row r="11" spans="2:22" ht="24.95" customHeight="1" thickBot="1" x14ac:dyDescent="0.35">
      <c r="N11" s="130"/>
      <c r="O11" s="130"/>
      <c r="P11" s="17"/>
      <c r="R11" s="145"/>
      <c r="S11" s="146"/>
      <c r="T11" s="146"/>
      <c r="U11" s="146"/>
      <c r="V11" s="147"/>
    </row>
    <row r="12" spans="2:22" ht="24.95" customHeight="1" thickBot="1" x14ac:dyDescent="0.35">
      <c r="B12" s="140" t="s">
        <v>4</v>
      </c>
      <c r="C12" s="140"/>
      <c r="D12" s="140"/>
      <c r="E12" s="133" t="s">
        <v>5</v>
      </c>
      <c r="F12" s="132">
        <v>12</v>
      </c>
      <c r="G12" s="133" t="s">
        <v>1</v>
      </c>
      <c r="H12" s="164" t="s">
        <v>6</v>
      </c>
      <c r="I12" s="164"/>
      <c r="J12" s="164"/>
      <c r="L12" s="1"/>
      <c r="M12" s="165" t="s">
        <v>0</v>
      </c>
      <c r="N12" s="165"/>
      <c r="O12" s="165"/>
      <c r="P12" s="92">
        <f>'Fan Power Setting'!B14</f>
        <v>2448</v>
      </c>
      <c r="Q12" s="133" t="s">
        <v>1</v>
      </c>
      <c r="R12" s="166">
        <f>P12/P13</f>
        <v>3.4971428571428573</v>
      </c>
      <c r="S12" s="128" t="s">
        <v>7</v>
      </c>
      <c r="T12" s="128"/>
      <c r="U12" s="128"/>
    </row>
    <row r="13" spans="2:22" ht="24.95" customHeight="1" x14ac:dyDescent="0.25">
      <c r="B13" s="129" t="s">
        <v>8</v>
      </c>
      <c r="C13" s="129"/>
      <c r="D13" s="129"/>
      <c r="E13" s="133"/>
      <c r="F13" s="132"/>
      <c r="G13" s="133"/>
      <c r="H13" s="164"/>
      <c r="I13" s="164"/>
      <c r="J13" s="164"/>
      <c r="K13" s="1"/>
      <c r="L13" s="1"/>
      <c r="M13" s="130" t="s">
        <v>3</v>
      </c>
      <c r="N13" s="130"/>
      <c r="O13" s="130"/>
      <c r="P13" s="78">
        <f>D6</f>
        <v>700</v>
      </c>
      <c r="Q13" s="133"/>
      <c r="R13" s="166"/>
      <c r="S13" s="128"/>
      <c r="T13" s="128"/>
      <c r="U13" s="128"/>
    </row>
    <row r="14" spans="2:22" ht="24.95" customHeight="1" thickBot="1" x14ac:dyDescent="0.3">
      <c r="M14" s="3"/>
    </row>
    <row r="15" spans="2:22" ht="24.95" customHeight="1" thickTop="1" thickBot="1" x14ac:dyDescent="0.35">
      <c r="D15" s="4"/>
      <c r="H15" s="5" t="s">
        <v>9</v>
      </c>
      <c r="I15" s="79">
        <f>D3</f>
        <v>2</v>
      </c>
      <c r="J15" s="6"/>
      <c r="L15" s="131" t="s">
        <v>2</v>
      </c>
      <c r="M15" s="131"/>
      <c r="N15" s="131"/>
      <c r="O15" s="7">
        <f>R12</f>
        <v>3.4971428571428573</v>
      </c>
      <c r="P15" s="132" t="s">
        <v>5</v>
      </c>
      <c r="Q15" s="132">
        <v>12</v>
      </c>
      <c r="R15" s="133" t="s">
        <v>1</v>
      </c>
      <c r="S15" s="134">
        <f>ROUND(O15/O16*12,1)</f>
        <v>0.5</v>
      </c>
      <c r="T15" s="136" t="s">
        <v>98</v>
      </c>
      <c r="U15" s="136"/>
      <c r="V15" s="137"/>
    </row>
    <row r="16" spans="2:22" ht="24.95" customHeight="1" thickTop="1" thickBot="1" x14ac:dyDescent="0.35">
      <c r="B16" s="8"/>
      <c r="C16" s="9" t="s">
        <v>10</v>
      </c>
      <c r="D16" s="80">
        <f>D2</f>
        <v>20</v>
      </c>
      <c r="L16" s="129" t="s">
        <v>8</v>
      </c>
      <c r="M16" s="129"/>
      <c r="N16" s="129"/>
      <c r="O16" s="10">
        <f>L23</f>
        <v>83.333333333333343</v>
      </c>
      <c r="P16" s="132"/>
      <c r="Q16" s="132"/>
      <c r="R16" s="133"/>
      <c r="S16" s="135"/>
      <c r="T16" s="138"/>
      <c r="U16" s="138"/>
      <c r="V16" s="139"/>
    </row>
    <row r="17" spans="1:24" ht="24.95" customHeight="1" thickTop="1" thickBot="1" x14ac:dyDescent="0.3">
      <c r="D17" s="11"/>
    </row>
    <row r="18" spans="1:24" ht="24.95" customHeight="1" thickTop="1" thickBot="1" x14ac:dyDescent="0.35">
      <c r="A18" s="125" t="s">
        <v>11</v>
      </c>
      <c r="B18" s="125"/>
      <c r="C18" s="125"/>
      <c r="D18" s="81">
        <f>D5</f>
        <v>5</v>
      </c>
      <c r="E18" s="12"/>
      <c r="N18" s="37" t="s">
        <v>79</v>
      </c>
      <c r="P18" s="86" t="s">
        <v>100</v>
      </c>
      <c r="Q18" s="82" cm="1">
        <f t="array" ref="Q18">_xlfn.IFS(P18="High",W19,P18="Medium",W20,P18="Low",W21,TRUE,W18)</f>
        <v>1</v>
      </c>
      <c r="S18" s="134">
        <f>ROUND(O15/O16*12*Q18,1)</f>
        <v>0.5</v>
      </c>
      <c r="T18" s="136" t="s">
        <v>83</v>
      </c>
      <c r="U18" s="136"/>
      <c r="V18" s="137"/>
      <c r="W18" s="30">
        <v>1</v>
      </c>
      <c r="X18" s="30"/>
    </row>
    <row r="19" spans="1:24" ht="24.95" customHeight="1" thickTop="1" thickBot="1" x14ac:dyDescent="0.3">
      <c r="S19" s="135"/>
      <c r="T19" s="138"/>
      <c r="U19" s="138"/>
      <c r="V19" s="139"/>
      <c r="W19" s="30">
        <v>0.9</v>
      </c>
      <c r="X19" s="30"/>
    </row>
    <row r="20" spans="1:24" ht="24.95" customHeight="1" thickTop="1" thickBot="1" x14ac:dyDescent="0.35">
      <c r="E20" s="126" t="s">
        <v>12</v>
      </c>
      <c r="F20" s="126"/>
      <c r="G20" s="126"/>
      <c r="H20" s="83">
        <f>D4</f>
        <v>25</v>
      </c>
      <c r="I20" s="13"/>
      <c r="W20" s="30">
        <v>0.8</v>
      </c>
      <c r="X20" s="30"/>
    </row>
    <row r="21" spans="1:24" ht="24.75" customHeight="1" thickTop="1" x14ac:dyDescent="0.25">
      <c r="H21" s="14"/>
      <c r="S21" s="150" t="s">
        <v>49</v>
      </c>
      <c r="T21" s="150"/>
      <c r="U21" s="150"/>
      <c r="V21" s="150"/>
      <c r="W21" s="30">
        <v>0.7</v>
      </c>
      <c r="X21" s="30"/>
    </row>
    <row r="22" spans="1:24" ht="24.75" customHeight="1" x14ac:dyDescent="0.3">
      <c r="C22" s="15">
        <f>H20</f>
        <v>25</v>
      </c>
      <c r="D22" s="16" t="s">
        <v>13</v>
      </c>
      <c r="E22" s="2" t="s">
        <v>1</v>
      </c>
      <c r="F22" s="17">
        <f>C22/12</f>
        <v>2.0833333333333335</v>
      </c>
      <c r="G22" s="18" t="s">
        <v>14</v>
      </c>
      <c r="S22" s="150"/>
      <c r="T22" s="150"/>
      <c r="U22" s="150"/>
      <c r="V22" s="150"/>
    </row>
    <row r="23" spans="1:24" ht="24.75" customHeight="1" x14ac:dyDescent="0.3">
      <c r="F23" s="17">
        <f>F22</f>
        <v>2.0833333333333335</v>
      </c>
      <c r="G23" s="17" t="s">
        <v>5</v>
      </c>
      <c r="H23" s="19">
        <f>I15</f>
        <v>2</v>
      </c>
      <c r="I23" s="17" t="s">
        <v>5</v>
      </c>
      <c r="J23" s="20">
        <f>D16</f>
        <v>20</v>
      </c>
      <c r="K23" s="2" t="s">
        <v>1</v>
      </c>
      <c r="L23" s="21">
        <f>F23*H23*J23</f>
        <v>83.333333333333343</v>
      </c>
      <c r="M23" s="22" t="s">
        <v>15</v>
      </c>
      <c r="S23" s="150"/>
      <c r="T23" s="150"/>
      <c r="U23" s="150"/>
      <c r="V23" s="150"/>
    </row>
    <row r="28" spans="1:24" ht="21" customHeight="1" x14ac:dyDescent="0.25"/>
    <row r="29" spans="1:24" ht="15.75" customHeight="1" x14ac:dyDescent="0.25"/>
    <row r="34" spans="7:28" ht="15" customHeight="1" x14ac:dyDescent="0.25"/>
    <row r="37" spans="7:28" x14ac:dyDescent="0.25">
      <c r="G37" s="84"/>
      <c r="H37" s="84"/>
      <c r="I37" s="84"/>
      <c r="J37" s="84"/>
    </row>
    <row r="46" spans="7:28" x14ac:dyDescent="0.25">
      <c r="Y46" s="127" t="s">
        <v>16</v>
      </c>
      <c r="Z46" s="127"/>
      <c r="AA46" s="127"/>
      <c r="AB46" s="127"/>
    </row>
  </sheetData>
  <sheetProtection algorithmName="SHA-512" hashValue="rDu4hQ21OE/aEDgTfVtM1Krj6IhHYWTNTRUszz9utRESUEquAixdvY+AONndAqjdWujj9MGDG3ZrE5YhW9M56Q==" saltValue="5f1gTql6hulbkccG0Fm8ZA==" spinCount="100000" sheet="1" objects="1" scenarios="1"/>
  <mergeCells count="41">
    <mergeCell ref="T18:V19"/>
    <mergeCell ref="S21:V23"/>
    <mergeCell ref="S18:S19"/>
    <mergeCell ref="L3:P6"/>
    <mergeCell ref="B1:D1"/>
    <mergeCell ref="G1:H1"/>
    <mergeCell ref="B6:C6"/>
    <mergeCell ref="G2:J3"/>
    <mergeCell ref="G4:J5"/>
    <mergeCell ref="G6:J7"/>
    <mergeCell ref="G12:G13"/>
    <mergeCell ref="H12:J13"/>
    <mergeCell ref="M12:O12"/>
    <mergeCell ref="Q12:Q13"/>
    <mergeCell ref="R12:R13"/>
    <mergeCell ref="B2:C2"/>
    <mergeCell ref="B3:C3"/>
    <mergeCell ref="B4:C4"/>
    <mergeCell ref="R10:V11"/>
    <mergeCell ref="N11:O11"/>
    <mergeCell ref="B9:D9"/>
    <mergeCell ref="E9:E10"/>
    <mergeCell ref="F9:H10"/>
    <mergeCell ref="B10:D10"/>
    <mergeCell ref="B5:C5"/>
    <mergeCell ref="A18:C18"/>
    <mergeCell ref="E20:G20"/>
    <mergeCell ref="Y46:AB46"/>
    <mergeCell ref="S12:U13"/>
    <mergeCell ref="B13:D13"/>
    <mergeCell ref="M13:O13"/>
    <mergeCell ref="L15:N15"/>
    <mergeCell ref="P15:P16"/>
    <mergeCell ref="Q15:Q16"/>
    <mergeCell ref="R15:R16"/>
    <mergeCell ref="S15:S16"/>
    <mergeCell ref="T15:V16"/>
    <mergeCell ref="L16:N16"/>
    <mergeCell ref="B12:D12"/>
    <mergeCell ref="E12:E13"/>
    <mergeCell ref="F12:F13"/>
  </mergeCells>
  <conditionalFormatting sqref="S15:S16">
    <cfRule type="cellIs" dxfId="21" priority="5" operator="lessThan">
      <formula>0.5</formula>
    </cfRule>
    <cfRule type="cellIs" dxfId="20" priority="6" operator="lessThan">
      <formula>0.5</formula>
    </cfRule>
    <cfRule type="cellIs" dxfId="19" priority="7" operator="greaterThan">
      <formula>$D$18</formula>
    </cfRule>
    <cfRule type="cellIs" dxfId="18" priority="8" operator="lessThan">
      <formula>0.5</formula>
    </cfRule>
  </conditionalFormatting>
  <conditionalFormatting sqref="S18:S19">
    <cfRule type="cellIs" dxfId="17" priority="1" operator="lessThan">
      <formula>0.5</formula>
    </cfRule>
    <cfRule type="cellIs" dxfId="16" priority="2" operator="lessThan">
      <formula>0.5</formula>
    </cfRule>
    <cfRule type="cellIs" dxfId="15" priority="3" operator="greaterThan">
      <formula>$D$18</formula>
    </cfRule>
    <cfRule type="cellIs" dxfId="14" priority="4" operator="lessThan">
      <formula>0.5</formula>
    </cfRule>
  </conditionalFormatting>
  <dataValidations count="2">
    <dataValidation type="list" allowBlank="1" showInputMessage="1" showErrorMessage="1" sqref="D3" xr:uid="{B64DBC35-C0B2-42A3-9148-421DE5FBF718}">
      <formula1>"1,2,4"</formula1>
    </dataValidation>
    <dataValidation type="list" allowBlank="1" showInputMessage="1" showErrorMessage="1" sqref="P18" xr:uid="{5CED198F-1812-4318-9B60-90823F82E92A}">
      <formula1>"Perfect, High, Medium, Low"</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55C21-EA0A-4CFE-9101-D1A6A01B5DC5}">
  <dimension ref="A1:AB46"/>
  <sheetViews>
    <sheetView showGridLines="0" zoomScaleNormal="100" workbookViewId="0">
      <selection activeCell="M20" sqref="M20"/>
    </sheetView>
  </sheetViews>
  <sheetFormatPr defaultRowHeight="15" x14ac:dyDescent="0.25"/>
  <cols>
    <col min="2" max="2" width="15.7109375" customWidth="1"/>
    <col min="3" max="3" width="9.140625" customWidth="1"/>
    <col min="4" max="4" width="9.42578125" bestFit="1" customWidth="1"/>
    <col min="5" max="10" width="9.28515625" customWidth="1"/>
    <col min="12" max="12" width="12.7109375" bestFit="1" customWidth="1"/>
    <col min="15" max="15" width="10.42578125" customWidth="1"/>
    <col min="16" max="16" width="16.7109375" customWidth="1"/>
    <col min="17" max="19" width="9.28515625" customWidth="1"/>
    <col min="22" max="22" width="9.140625" customWidth="1"/>
    <col min="23" max="23" width="6.42578125" hidden="1" customWidth="1"/>
  </cols>
  <sheetData>
    <row r="1" spans="2:22" ht="24.75" customHeight="1" x14ac:dyDescent="0.35">
      <c r="B1" s="160" t="s">
        <v>43</v>
      </c>
      <c r="C1" s="160"/>
      <c r="D1" s="160"/>
      <c r="G1" s="161" t="s">
        <v>68</v>
      </c>
      <c r="H1" s="161"/>
      <c r="I1" s="60"/>
      <c r="J1" s="60"/>
    </row>
    <row r="2" spans="2:22" ht="24.75" customHeight="1" thickBot="1" x14ac:dyDescent="0.3">
      <c r="B2" s="141" t="s">
        <v>44</v>
      </c>
      <c r="C2" s="141"/>
      <c r="D2" s="85">
        <v>20</v>
      </c>
      <c r="G2" s="162" t="s">
        <v>71</v>
      </c>
      <c r="H2" s="162"/>
      <c r="I2" s="162"/>
      <c r="J2" s="162"/>
    </row>
    <row r="3" spans="2:22" ht="24.75" customHeight="1" thickTop="1" x14ac:dyDescent="0.25">
      <c r="B3" s="141" t="s">
        <v>45</v>
      </c>
      <c r="C3" s="141"/>
      <c r="D3" s="85">
        <v>2</v>
      </c>
      <c r="G3" s="162"/>
      <c r="H3" s="162"/>
      <c r="I3" s="162"/>
      <c r="J3" s="162"/>
      <c r="L3" s="151" t="s">
        <v>89</v>
      </c>
      <c r="M3" s="152"/>
      <c r="N3" s="152"/>
      <c r="O3" s="152"/>
      <c r="P3" s="153"/>
    </row>
    <row r="4" spans="2:22" ht="24.75" customHeight="1" x14ac:dyDescent="0.25">
      <c r="B4" s="141" t="s">
        <v>47</v>
      </c>
      <c r="C4" s="141"/>
      <c r="D4" s="85">
        <v>25</v>
      </c>
      <c r="G4" s="163" t="s">
        <v>72</v>
      </c>
      <c r="H4" s="163"/>
      <c r="I4" s="163"/>
      <c r="J4" s="163"/>
      <c r="L4" s="154"/>
      <c r="M4" s="155"/>
      <c r="N4" s="155"/>
      <c r="O4" s="155"/>
      <c r="P4" s="156"/>
    </row>
    <row r="5" spans="2:22" ht="24.75" customHeight="1" x14ac:dyDescent="0.25">
      <c r="B5" s="141" t="s">
        <v>11</v>
      </c>
      <c r="C5" s="141"/>
      <c r="D5" s="85">
        <v>5</v>
      </c>
      <c r="G5" s="163"/>
      <c r="H5" s="163"/>
      <c r="I5" s="163"/>
      <c r="J5" s="163"/>
      <c r="L5" s="154"/>
      <c r="M5" s="155"/>
      <c r="N5" s="155"/>
      <c r="O5" s="155"/>
      <c r="P5" s="156"/>
    </row>
    <row r="6" spans="2:22" ht="24.75" customHeight="1" thickBot="1" x14ac:dyDescent="0.3">
      <c r="B6" s="141" t="s">
        <v>90</v>
      </c>
      <c r="C6" s="141"/>
      <c r="D6" s="85">
        <v>700</v>
      </c>
      <c r="G6" s="163" t="s">
        <v>91</v>
      </c>
      <c r="H6" s="163"/>
      <c r="I6" s="163"/>
      <c r="J6" s="163"/>
      <c r="L6" s="157"/>
      <c r="M6" s="158"/>
      <c r="N6" s="158"/>
      <c r="O6" s="158"/>
      <c r="P6" s="159"/>
    </row>
    <row r="7" spans="2:22" ht="24.75" customHeight="1" thickTop="1" x14ac:dyDescent="0.25">
      <c r="G7" s="163"/>
      <c r="H7" s="163"/>
      <c r="I7" s="163"/>
      <c r="J7" s="163"/>
    </row>
    <row r="8" spans="2:22" ht="15" customHeight="1" x14ac:dyDescent="0.25"/>
    <row r="9" spans="2:22" ht="24.75" customHeight="1" thickBot="1" x14ac:dyDescent="0.35">
      <c r="B9" s="148" t="s">
        <v>0</v>
      </c>
      <c r="C9" s="148"/>
      <c r="D9" s="148"/>
      <c r="E9" s="133" t="s">
        <v>1</v>
      </c>
      <c r="F9" s="149" t="s">
        <v>2</v>
      </c>
      <c r="G9" s="149"/>
      <c r="H9" s="149"/>
      <c r="I9" s="1"/>
      <c r="J9" s="1"/>
      <c r="N9" s="130"/>
      <c r="O9" s="130"/>
      <c r="P9" s="17"/>
    </row>
    <row r="10" spans="2:22" ht="24.75" customHeight="1" x14ac:dyDescent="0.3">
      <c r="B10" s="132" t="s">
        <v>3</v>
      </c>
      <c r="C10" s="132"/>
      <c r="D10" s="132"/>
      <c r="E10" s="133"/>
      <c r="F10" s="149"/>
      <c r="G10" s="149"/>
      <c r="H10" s="149"/>
      <c r="I10" s="1"/>
      <c r="J10" s="1"/>
      <c r="N10" s="130"/>
      <c r="O10" s="130"/>
      <c r="P10" s="17"/>
      <c r="R10" s="167" t="s">
        <v>82</v>
      </c>
      <c r="S10" s="168"/>
      <c r="T10" s="168"/>
      <c r="U10" s="168"/>
      <c r="V10" s="169"/>
    </row>
    <row r="11" spans="2:22" ht="24.75" customHeight="1" thickBot="1" x14ac:dyDescent="0.35">
      <c r="N11" s="130"/>
      <c r="O11" s="130"/>
      <c r="P11" s="17"/>
      <c r="R11" s="170"/>
      <c r="S11" s="171"/>
      <c r="T11" s="171"/>
      <c r="U11" s="171"/>
      <c r="V11" s="172"/>
    </row>
    <row r="12" spans="2:22" ht="24.75" customHeight="1" thickBot="1" x14ac:dyDescent="0.35">
      <c r="B12" s="140" t="s">
        <v>4</v>
      </c>
      <c r="C12" s="140"/>
      <c r="D12" s="140"/>
      <c r="E12" s="133" t="s">
        <v>5</v>
      </c>
      <c r="F12" s="132">
        <v>12</v>
      </c>
      <c r="G12" s="133" t="s">
        <v>1</v>
      </c>
      <c r="H12" s="164" t="s">
        <v>6</v>
      </c>
      <c r="I12" s="164"/>
      <c r="J12" s="164"/>
      <c r="L12" s="1"/>
      <c r="M12" s="165" t="s">
        <v>0</v>
      </c>
      <c r="N12" s="165"/>
      <c r="O12" s="165"/>
      <c r="P12" s="77">
        <f>'Fan Power Setting'!B8</f>
        <v>3600</v>
      </c>
      <c r="Q12" s="133" t="s">
        <v>1</v>
      </c>
      <c r="R12" s="166">
        <f>P12/P13</f>
        <v>5.1428571428571432</v>
      </c>
      <c r="S12" s="128" t="s">
        <v>7</v>
      </c>
      <c r="T12" s="128"/>
      <c r="U12" s="128"/>
    </row>
    <row r="13" spans="2:22" ht="24.75" customHeight="1" x14ac:dyDescent="0.25">
      <c r="B13" s="129" t="s">
        <v>8</v>
      </c>
      <c r="C13" s="129"/>
      <c r="D13" s="129"/>
      <c r="E13" s="133"/>
      <c r="F13" s="132"/>
      <c r="G13" s="133"/>
      <c r="H13" s="164"/>
      <c r="I13" s="164"/>
      <c r="J13" s="164"/>
      <c r="K13" s="1"/>
      <c r="L13" s="1"/>
      <c r="M13" s="130" t="s">
        <v>3</v>
      </c>
      <c r="N13" s="130"/>
      <c r="O13" s="130"/>
      <c r="P13" s="78">
        <f>D6</f>
        <v>700</v>
      </c>
      <c r="Q13" s="133"/>
      <c r="R13" s="166"/>
      <c r="S13" s="128"/>
      <c r="T13" s="128"/>
      <c r="U13" s="128"/>
    </row>
    <row r="14" spans="2:22" ht="24.75" customHeight="1" thickBot="1" x14ac:dyDescent="0.3">
      <c r="M14" s="3"/>
    </row>
    <row r="15" spans="2:22" ht="24.75" customHeight="1" thickTop="1" thickBot="1" x14ac:dyDescent="0.35">
      <c r="D15" s="4"/>
      <c r="H15" s="5" t="s">
        <v>9</v>
      </c>
      <c r="I15" s="79">
        <f>D3</f>
        <v>2</v>
      </c>
      <c r="J15" s="6"/>
      <c r="L15" s="131" t="s">
        <v>2</v>
      </c>
      <c r="M15" s="131"/>
      <c r="N15" s="131"/>
      <c r="O15" s="7">
        <f>R12</f>
        <v>5.1428571428571432</v>
      </c>
      <c r="P15" s="132" t="s">
        <v>5</v>
      </c>
      <c r="Q15" s="132">
        <v>12</v>
      </c>
      <c r="R15" s="133" t="s">
        <v>1</v>
      </c>
      <c r="S15" s="134">
        <f>ROUND(O15/O16*12,1)</f>
        <v>0.7</v>
      </c>
      <c r="T15" s="136" t="s">
        <v>98</v>
      </c>
      <c r="U15" s="136"/>
      <c r="V15" s="137"/>
    </row>
    <row r="16" spans="2:22" ht="24.75" customHeight="1" thickTop="1" thickBot="1" x14ac:dyDescent="0.35">
      <c r="B16" s="8"/>
      <c r="C16" s="9" t="s">
        <v>10</v>
      </c>
      <c r="D16" s="80">
        <f>D2</f>
        <v>20</v>
      </c>
      <c r="L16" s="129" t="s">
        <v>8</v>
      </c>
      <c r="M16" s="129"/>
      <c r="N16" s="129"/>
      <c r="O16" s="10">
        <f>L23</f>
        <v>83.333333333333343</v>
      </c>
      <c r="P16" s="132"/>
      <c r="Q16" s="132"/>
      <c r="R16" s="133"/>
      <c r="S16" s="135"/>
      <c r="T16" s="138"/>
      <c r="U16" s="138"/>
      <c r="V16" s="139"/>
    </row>
    <row r="17" spans="1:24" ht="24.75" customHeight="1" thickTop="1" thickBot="1" x14ac:dyDescent="0.3">
      <c r="D17" s="11"/>
    </row>
    <row r="18" spans="1:24" ht="24.75" customHeight="1" thickTop="1" thickBot="1" x14ac:dyDescent="0.35">
      <c r="A18" s="125" t="s">
        <v>11</v>
      </c>
      <c r="B18" s="125"/>
      <c r="C18" s="125"/>
      <c r="D18" s="81">
        <f>D5</f>
        <v>5</v>
      </c>
      <c r="E18" s="12"/>
      <c r="N18" s="37" t="s">
        <v>79</v>
      </c>
      <c r="P18" s="86" t="s">
        <v>100</v>
      </c>
      <c r="Q18" s="82" cm="1">
        <f t="array" ref="Q18">_xlfn.IFS(P18="High",W19,P18="Medium",W20,P18="Low",W21,TRUE,W18)</f>
        <v>1</v>
      </c>
      <c r="S18" s="134">
        <f>ROUND(O15/O16*12*Q18,1)</f>
        <v>0.7</v>
      </c>
      <c r="T18" s="136" t="s">
        <v>83</v>
      </c>
      <c r="U18" s="136"/>
      <c r="V18" s="137"/>
      <c r="W18" s="30">
        <v>1</v>
      </c>
      <c r="X18" s="30"/>
    </row>
    <row r="19" spans="1:24" ht="24.75" customHeight="1" thickTop="1" thickBot="1" x14ac:dyDescent="0.3">
      <c r="S19" s="135"/>
      <c r="T19" s="138"/>
      <c r="U19" s="138"/>
      <c r="V19" s="139"/>
      <c r="W19" s="30">
        <v>0.9</v>
      </c>
      <c r="X19" s="30"/>
    </row>
    <row r="20" spans="1:24" ht="24.75" customHeight="1" thickTop="1" thickBot="1" x14ac:dyDescent="0.35">
      <c r="E20" s="126" t="s">
        <v>12</v>
      </c>
      <c r="F20" s="126"/>
      <c r="G20" s="126"/>
      <c r="H20" s="83">
        <f>D4</f>
        <v>25</v>
      </c>
      <c r="I20" s="13"/>
      <c r="W20" s="30">
        <v>0.8</v>
      </c>
      <c r="X20" s="30"/>
    </row>
    <row r="21" spans="1:24" ht="24.75" customHeight="1" thickTop="1" x14ac:dyDescent="0.25">
      <c r="H21" s="14"/>
      <c r="S21" s="150" t="s">
        <v>49</v>
      </c>
      <c r="T21" s="150"/>
      <c r="U21" s="150"/>
      <c r="V21" s="150"/>
      <c r="W21" s="30">
        <v>0.7</v>
      </c>
      <c r="X21" s="30"/>
    </row>
    <row r="22" spans="1:24" ht="24.75" customHeight="1" x14ac:dyDescent="0.3">
      <c r="C22" s="15">
        <f>H20</f>
        <v>25</v>
      </c>
      <c r="D22" s="16" t="s">
        <v>13</v>
      </c>
      <c r="E22" s="2" t="s">
        <v>1</v>
      </c>
      <c r="F22" s="17">
        <f>C22/12</f>
        <v>2.0833333333333335</v>
      </c>
      <c r="G22" s="18" t="s">
        <v>14</v>
      </c>
      <c r="S22" s="150"/>
      <c r="T22" s="150"/>
      <c r="U22" s="150"/>
      <c r="V22" s="150"/>
    </row>
    <row r="23" spans="1:24" ht="24.75" customHeight="1" x14ac:dyDescent="0.3">
      <c r="F23" s="17">
        <f>F22</f>
        <v>2.0833333333333335</v>
      </c>
      <c r="G23" s="17" t="s">
        <v>5</v>
      </c>
      <c r="H23" s="19">
        <f>I15</f>
        <v>2</v>
      </c>
      <c r="I23" s="17" t="s">
        <v>5</v>
      </c>
      <c r="J23" s="20">
        <f>D16</f>
        <v>20</v>
      </c>
      <c r="K23" s="2" t="s">
        <v>1</v>
      </c>
      <c r="L23" s="21">
        <f>F23*H23*J23</f>
        <v>83.333333333333343</v>
      </c>
      <c r="M23" s="22" t="s">
        <v>15</v>
      </c>
      <c r="S23" s="150"/>
      <c r="T23" s="150"/>
      <c r="U23" s="150"/>
      <c r="V23" s="150"/>
    </row>
    <row r="46" spans="25:28" x14ac:dyDescent="0.25">
      <c r="Y46" s="127" t="s">
        <v>16</v>
      </c>
      <c r="Z46" s="127"/>
      <c r="AA46" s="127"/>
      <c r="AB46" s="127"/>
    </row>
  </sheetData>
  <sheetProtection algorithmName="SHA-512" hashValue="VSuAQn+iZHfWq2W9cQE3LUlzkUoeJsm33ereZ/bVv0z6v1UM3iFT4zSyPnT3SEq9bFEA+gWh8eMyySjR1hZtxA==" saltValue="3Z5RRgGIfc6dhZyJBcptQA==" spinCount="100000" sheet="1" objects="1" scenarios="1"/>
  <mergeCells count="43">
    <mergeCell ref="L3:P6"/>
    <mergeCell ref="S18:S19"/>
    <mergeCell ref="T18:V19"/>
    <mergeCell ref="S21:V23"/>
    <mergeCell ref="G1:H1"/>
    <mergeCell ref="B6:C6"/>
    <mergeCell ref="G2:J3"/>
    <mergeCell ref="G4:J5"/>
    <mergeCell ref="G6:J7"/>
    <mergeCell ref="B2:C2"/>
    <mergeCell ref="B3:C3"/>
    <mergeCell ref="B4:C4"/>
    <mergeCell ref="B5:C5"/>
    <mergeCell ref="B1:D1"/>
    <mergeCell ref="T15:V16"/>
    <mergeCell ref="L16:N16"/>
    <mergeCell ref="A18:C18"/>
    <mergeCell ref="E20:G20"/>
    <mergeCell ref="R10:V11"/>
    <mergeCell ref="N11:O11"/>
    <mergeCell ref="B12:D12"/>
    <mergeCell ref="E12:E13"/>
    <mergeCell ref="F12:F13"/>
    <mergeCell ref="G12:G13"/>
    <mergeCell ref="H12:J13"/>
    <mergeCell ref="M12:O12"/>
    <mergeCell ref="Q12:Q13"/>
    <mergeCell ref="R12:R13"/>
    <mergeCell ref="S12:U13"/>
    <mergeCell ref="Y46:AB46"/>
    <mergeCell ref="L15:N15"/>
    <mergeCell ref="P15:P16"/>
    <mergeCell ref="Q15:Q16"/>
    <mergeCell ref="R15:R16"/>
    <mergeCell ref="S15:S16"/>
    <mergeCell ref="B13:D13"/>
    <mergeCell ref="M13:O13"/>
    <mergeCell ref="B9:D9"/>
    <mergeCell ref="E9:E10"/>
    <mergeCell ref="F9:H10"/>
    <mergeCell ref="N9:O9"/>
    <mergeCell ref="B10:D10"/>
    <mergeCell ref="N10:O10"/>
  </mergeCells>
  <conditionalFormatting sqref="S15:S16">
    <cfRule type="cellIs" dxfId="13" priority="9" operator="lessThan">
      <formula>0.5</formula>
    </cfRule>
    <cfRule type="cellIs" dxfId="12" priority="10" operator="greaterThan">
      <formula>$D$18</formula>
    </cfRule>
    <cfRule type="cellIs" dxfId="11" priority="11" operator="lessThan">
      <formula>0.5</formula>
    </cfRule>
  </conditionalFormatting>
  <conditionalFormatting sqref="S18:S19">
    <cfRule type="cellIs" dxfId="10" priority="1" operator="lessThan">
      <formula>0.5</formula>
    </cfRule>
    <cfRule type="cellIs" dxfId="9" priority="2" operator="lessThan">
      <formula>0.5</formula>
    </cfRule>
    <cfRule type="cellIs" dxfId="8" priority="3" operator="greaterThan">
      <formula>$D$18</formula>
    </cfRule>
    <cfRule type="cellIs" dxfId="7" priority="4" operator="lessThan">
      <formula>0.5</formula>
    </cfRule>
  </conditionalFormatting>
  <dataValidations count="2">
    <dataValidation type="list" allowBlank="1" showInputMessage="1" showErrorMessage="1" sqref="D3" xr:uid="{843AE633-D0AF-43D5-A1BC-D4086F93EBF9}">
      <formula1>"1,2,4"</formula1>
    </dataValidation>
    <dataValidation type="list" allowBlank="1" showInputMessage="1" showErrorMessage="1" sqref="P18" xr:uid="{2CA09BC4-EDAE-4D62-B3C5-808FC2418417}">
      <formula1>"Perfect, High, Medium, Low"</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E151-8751-43DA-8971-6FA381F29575}">
  <dimension ref="A1:AG76"/>
  <sheetViews>
    <sheetView showGridLines="0" workbookViewId="0">
      <selection activeCell="N5" sqref="N5"/>
    </sheetView>
  </sheetViews>
  <sheetFormatPr defaultRowHeight="15" x14ac:dyDescent="0.25"/>
  <cols>
    <col min="1" max="1" width="22.42578125" customWidth="1"/>
    <col min="4" max="4" width="9.140625" customWidth="1"/>
    <col min="5" max="9" width="9.140625" hidden="1" customWidth="1"/>
    <col min="10" max="10" width="2.5703125" customWidth="1"/>
    <col min="11" max="11" width="4" customWidth="1"/>
    <col min="12" max="12" width="22" customWidth="1"/>
    <col min="14" max="14" width="9" customWidth="1"/>
    <col min="15" max="15" width="2.5703125" customWidth="1"/>
    <col min="16" max="19" width="9.140625" hidden="1" customWidth="1"/>
    <col min="22" max="22" width="8.7109375" customWidth="1"/>
    <col min="23" max="23" width="9" customWidth="1"/>
    <col min="24" max="24" width="7.42578125" hidden="1" customWidth="1"/>
    <col min="26" max="26" width="14.28515625" customWidth="1"/>
    <col min="28" max="28" width="3.5703125" customWidth="1"/>
    <col min="29" max="29" width="13.140625" customWidth="1"/>
    <col min="30" max="30" width="17.5703125" customWidth="1"/>
    <col min="31" max="31" width="0" hidden="1" customWidth="1"/>
  </cols>
  <sheetData>
    <row r="1" spans="1:33" ht="17.25" thickTop="1" thickBot="1" x14ac:dyDescent="0.3">
      <c r="A1" s="180" t="s">
        <v>52</v>
      </c>
      <c r="B1" s="181"/>
      <c r="C1" s="90"/>
      <c r="AE1">
        <v>1</v>
      </c>
      <c r="AF1" s="223">
        <v>1</v>
      </c>
    </row>
    <row r="2" spans="1:33" ht="18" customHeight="1" thickTop="1" x14ac:dyDescent="0.25">
      <c r="V2" s="195" t="s">
        <v>18</v>
      </c>
      <c r="W2" s="113" t="s">
        <v>19</v>
      </c>
    </row>
    <row r="3" spans="1:33" ht="18" customHeight="1" x14ac:dyDescent="0.3">
      <c r="A3" s="34" t="s">
        <v>24</v>
      </c>
      <c r="B3" s="86">
        <v>1200</v>
      </c>
      <c r="E3" s="173" t="s">
        <v>21</v>
      </c>
      <c r="F3" s="173"/>
      <c r="G3" s="173" t="s">
        <v>27</v>
      </c>
      <c r="H3" s="173"/>
      <c r="L3" s="36" t="s">
        <v>29</v>
      </c>
      <c r="M3" s="217">
        <f>B19</f>
        <v>2400</v>
      </c>
      <c r="P3" s="174" t="s">
        <v>32</v>
      </c>
      <c r="Q3" s="174"/>
      <c r="U3" s="34" t="s">
        <v>17</v>
      </c>
      <c r="V3" s="195"/>
      <c r="W3" s="196"/>
      <c r="X3" s="40"/>
      <c r="Y3" s="197" t="s">
        <v>43</v>
      </c>
      <c r="Z3" s="197"/>
      <c r="AA3" s="197"/>
    </row>
    <row r="4" spans="1:33" ht="18" customHeight="1" x14ac:dyDescent="0.25">
      <c r="A4" s="34"/>
      <c r="B4" s="3"/>
      <c r="E4" s="3" t="s">
        <v>22</v>
      </c>
      <c r="F4" s="3" t="s">
        <v>23</v>
      </c>
      <c r="G4" s="29" t="s">
        <v>20</v>
      </c>
      <c r="L4" s="48"/>
      <c r="M4" s="39"/>
      <c r="N4" s="47" t="s">
        <v>54</v>
      </c>
      <c r="P4" s="31" t="s">
        <v>30</v>
      </c>
      <c r="Q4" s="31" t="s">
        <v>31</v>
      </c>
      <c r="U4" s="3">
        <v>8</v>
      </c>
      <c r="V4" s="3">
        <v>500</v>
      </c>
      <c r="W4" s="74"/>
      <c r="X4" s="40">
        <f>(IF(W4&gt;0,W4,V4))</f>
        <v>500</v>
      </c>
      <c r="Y4" s="141" t="s">
        <v>44</v>
      </c>
      <c r="Z4" s="141"/>
      <c r="AA4" s="86">
        <v>20</v>
      </c>
    </row>
    <row r="5" spans="1:33" ht="18" customHeight="1" x14ac:dyDescent="0.25">
      <c r="A5" s="34" t="s">
        <v>26</v>
      </c>
      <c r="B5" s="86">
        <v>15</v>
      </c>
      <c r="C5" s="192" t="s">
        <v>88</v>
      </c>
      <c r="D5" s="193"/>
      <c r="E5" s="3">
        <v>10</v>
      </c>
      <c r="F5" s="28">
        <v>4.5</v>
      </c>
      <c r="G5" s="3">
        <v>2</v>
      </c>
      <c r="H5" s="26">
        <f t="shared" ref="H5:H68" si="0">G5/E5</f>
        <v>0.2</v>
      </c>
      <c r="L5" s="48" t="s">
        <v>74</v>
      </c>
      <c r="M5" s="76">
        <v>18</v>
      </c>
      <c r="N5" s="76">
        <v>1</v>
      </c>
      <c r="P5" s="3">
        <v>100</v>
      </c>
      <c r="Q5" s="3">
        <v>100</v>
      </c>
      <c r="S5" s="3"/>
      <c r="U5" s="3">
        <v>10</v>
      </c>
      <c r="V5" s="3">
        <v>1200</v>
      </c>
      <c r="W5" s="74"/>
      <c r="X5" s="40">
        <f t="shared" ref="X5:X14" si="1">(IF(W5&gt;0,W5,V5))</f>
        <v>1200</v>
      </c>
      <c r="Y5" s="141" t="s">
        <v>45</v>
      </c>
      <c r="Z5" s="141"/>
      <c r="AA5" s="86">
        <v>2</v>
      </c>
    </row>
    <row r="6" spans="1:33" ht="18" customHeight="1" thickBot="1" x14ac:dyDescent="0.3">
      <c r="A6" s="34" t="s">
        <v>87</v>
      </c>
      <c r="B6" s="86"/>
      <c r="C6" s="192"/>
      <c r="D6" s="193"/>
      <c r="E6" s="3">
        <v>11</v>
      </c>
      <c r="F6" s="28">
        <f>E6/2.2</f>
        <v>5</v>
      </c>
      <c r="G6" s="3">
        <v>2</v>
      </c>
      <c r="H6" s="26">
        <f t="shared" si="0"/>
        <v>0.18181818181818182</v>
      </c>
      <c r="L6" s="45" t="s">
        <v>31</v>
      </c>
      <c r="M6" s="218">
        <f>_xlfn.XLOOKUP(M5,U4:U14,X4:X14,0)*N5</f>
        <v>3600</v>
      </c>
      <c r="N6" s="39"/>
      <c r="P6" s="3">
        <v>99</v>
      </c>
      <c r="Q6" s="3">
        <v>99</v>
      </c>
      <c r="R6" s="3"/>
      <c r="S6" s="3"/>
      <c r="U6" s="3">
        <v>12</v>
      </c>
      <c r="V6" s="3">
        <v>1600</v>
      </c>
      <c r="W6" s="74"/>
      <c r="X6" s="40">
        <f t="shared" si="1"/>
        <v>1600</v>
      </c>
      <c r="Y6" s="141" t="s">
        <v>47</v>
      </c>
      <c r="Z6" s="141"/>
      <c r="AA6" s="86">
        <v>25</v>
      </c>
      <c r="AC6" s="64"/>
      <c r="AD6" s="65"/>
      <c r="AE6" s="65"/>
      <c r="AF6" s="65"/>
      <c r="AG6" s="65"/>
    </row>
    <row r="7" spans="1:33" ht="18" customHeight="1" x14ac:dyDescent="0.25">
      <c r="A7" s="3"/>
      <c r="B7" s="72">
        <f>IF(B6="",B5,B6*2.205)</f>
        <v>15</v>
      </c>
      <c r="E7" s="3">
        <v>12</v>
      </c>
      <c r="F7" s="28">
        <v>5.4</v>
      </c>
      <c r="G7" s="3">
        <v>2</v>
      </c>
      <c r="H7" s="26">
        <f t="shared" si="0"/>
        <v>0.16666666666666666</v>
      </c>
      <c r="L7" s="48" t="s">
        <v>75</v>
      </c>
      <c r="M7" s="76"/>
      <c r="N7" s="76"/>
      <c r="P7" s="3">
        <v>98</v>
      </c>
      <c r="Q7" s="3">
        <v>98</v>
      </c>
      <c r="R7" s="3"/>
      <c r="S7" s="3"/>
      <c r="U7" s="3">
        <v>16</v>
      </c>
      <c r="V7" s="3">
        <v>2700</v>
      </c>
      <c r="W7" s="74"/>
      <c r="X7" s="40">
        <f t="shared" si="1"/>
        <v>2700</v>
      </c>
      <c r="Y7" s="141" t="s">
        <v>11</v>
      </c>
      <c r="Z7" s="141"/>
      <c r="AA7" s="86">
        <v>5</v>
      </c>
      <c r="AC7" s="167" t="s">
        <v>86</v>
      </c>
      <c r="AD7" s="168"/>
      <c r="AE7" s="168"/>
      <c r="AF7" s="168"/>
      <c r="AG7" s="169"/>
    </row>
    <row r="8" spans="1:33" ht="18" customHeight="1" thickBot="1" x14ac:dyDescent="0.3">
      <c r="A8" s="34" t="s">
        <v>25</v>
      </c>
      <c r="B8" s="215">
        <f>VLOOKUP(B7,E5:H76,3,TRUE)</f>
        <v>2</v>
      </c>
      <c r="C8" t="s">
        <v>28</v>
      </c>
      <c r="E8" s="3">
        <v>13</v>
      </c>
      <c r="F8" s="28">
        <f t="shared" ref="F8:F9" si="2">E8/2.2</f>
        <v>5.9090909090909083</v>
      </c>
      <c r="G8" s="3">
        <v>2</v>
      </c>
      <c r="H8" s="26">
        <f t="shared" si="0"/>
        <v>0.15384615384615385</v>
      </c>
      <c r="L8" s="45" t="s">
        <v>31</v>
      </c>
      <c r="M8" s="218">
        <f>_xlfn.XLOOKUP(M7,U4:U14,X4:X14,0)*N7</f>
        <v>0</v>
      </c>
      <c r="N8" s="39"/>
      <c r="P8" s="3">
        <v>97</v>
      </c>
      <c r="Q8" s="3">
        <v>97</v>
      </c>
      <c r="R8" s="3"/>
      <c r="S8" s="3"/>
      <c r="U8" s="3">
        <v>18</v>
      </c>
      <c r="V8" s="3">
        <v>3600</v>
      </c>
      <c r="W8" s="74"/>
      <c r="X8" s="40">
        <f t="shared" si="1"/>
        <v>3600</v>
      </c>
      <c r="Y8" s="194" t="s">
        <v>48</v>
      </c>
      <c r="Z8" s="194"/>
      <c r="AA8" s="86">
        <v>700</v>
      </c>
      <c r="AC8" s="170"/>
      <c r="AD8" s="171"/>
      <c r="AE8" s="171"/>
      <c r="AF8" s="171"/>
      <c r="AG8" s="172"/>
    </row>
    <row r="9" spans="1:33" ht="18" customHeight="1" thickBot="1" x14ac:dyDescent="0.3">
      <c r="A9" s="34"/>
      <c r="B9" s="3"/>
      <c r="E9" s="3">
        <v>14</v>
      </c>
      <c r="F9" s="28">
        <f t="shared" si="2"/>
        <v>6.3636363636363633</v>
      </c>
      <c r="G9" s="3">
        <v>2</v>
      </c>
      <c r="H9" s="26">
        <f t="shared" si="0"/>
        <v>0.14285714285714285</v>
      </c>
      <c r="L9" s="48" t="s">
        <v>35</v>
      </c>
      <c r="M9" s="218">
        <f>M6+M8</f>
        <v>3600</v>
      </c>
      <c r="N9" s="39"/>
      <c r="P9" s="3">
        <v>96</v>
      </c>
      <c r="Q9" s="3">
        <v>96</v>
      </c>
      <c r="R9" s="3"/>
      <c r="S9" s="3"/>
      <c r="U9" s="3">
        <v>24</v>
      </c>
      <c r="V9" s="3">
        <v>6000</v>
      </c>
      <c r="W9" s="74"/>
      <c r="X9" s="40">
        <f t="shared" si="1"/>
        <v>6000</v>
      </c>
    </row>
    <row r="10" spans="1:33" ht="18" customHeight="1" thickTop="1" x14ac:dyDescent="0.25">
      <c r="A10" s="34" t="s">
        <v>25</v>
      </c>
      <c r="B10" s="216">
        <f>B3*B8</f>
        <v>2400</v>
      </c>
      <c r="E10" s="3">
        <v>15</v>
      </c>
      <c r="F10" s="28">
        <v>6.8</v>
      </c>
      <c r="G10" s="3">
        <v>2</v>
      </c>
      <c r="H10" s="26">
        <f t="shared" si="0"/>
        <v>0.13333333333333333</v>
      </c>
      <c r="L10" s="35"/>
      <c r="P10" s="3">
        <v>95</v>
      </c>
      <c r="Q10" s="3">
        <v>95</v>
      </c>
      <c r="R10" s="3"/>
      <c r="S10" s="3"/>
      <c r="U10" s="3">
        <v>36</v>
      </c>
      <c r="V10" s="3">
        <v>10000</v>
      </c>
      <c r="W10" s="74"/>
      <c r="X10" s="40">
        <f t="shared" si="1"/>
        <v>10000</v>
      </c>
      <c r="Z10" s="182" t="s">
        <v>77</v>
      </c>
      <c r="AA10" s="183"/>
      <c r="AB10" s="183"/>
      <c r="AC10" s="184"/>
    </row>
    <row r="11" spans="1:33" ht="18" customHeight="1" thickBot="1" x14ac:dyDescent="0.3">
      <c r="A11" s="27"/>
      <c r="B11" s="3"/>
      <c r="E11" s="3">
        <v>16</v>
      </c>
      <c r="F11" s="28">
        <f t="shared" ref="F11:F13" si="3">E11/2.2</f>
        <v>7.2727272727272725</v>
      </c>
      <c r="G11" s="3">
        <v>2</v>
      </c>
      <c r="H11" s="26">
        <f t="shared" si="0"/>
        <v>0.125</v>
      </c>
      <c r="L11" s="36" t="s">
        <v>37</v>
      </c>
      <c r="M11" s="33">
        <f>M3/M9*100</f>
        <v>66.666666666666657</v>
      </c>
      <c r="P11" s="3">
        <v>94</v>
      </c>
      <c r="Q11" s="3">
        <v>94</v>
      </c>
      <c r="R11" s="3"/>
      <c r="S11" s="3"/>
      <c r="U11" s="3">
        <v>48</v>
      </c>
      <c r="V11" s="3">
        <v>18000</v>
      </c>
      <c r="W11" s="74"/>
      <c r="X11" s="40">
        <f t="shared" si="1"/>
        <v>18000</v>
      </c>
      <c r="Z11" s="185"/>
      <c r="AA11" s="186"/>
      <c r="AB11" s="186"/>
      <c r="AC11" s="187"/>
    </row>
    <row r="12" spans="1:33" ht="18" customHeight="1" thickTop="1" thickBot="1" x14ac:dyDescent="0.3">
      <c r="A12" s="224" t="s">
        <v>50</v>
      </c>
      <c r="B12" s="225"/>
      <c r="C12" s="90"/>
      <c r="E12" s="3">
        <v>17</v>
      </c>
      <c r="F12" s="28">
        <f t="shared" si="3"/>
        <v>7.7272727272727266</v>
      </c>
      <c r="G12" s="3">
        <v>2</v>
      </c>
      <c r="H12" s="26">
        <f t="shared" si="0"/>
        <v>0.11764705882352941</v>
      </c>
      <c r="L12" s="36"/>
      <c r="M12" s="36"/>
      <c r="P12" s="3">
        <v>93</v>
      </c>
      <c r="Q12" s="3">
        <v>93</v>
      </c>
      <c r="R12" s="3"/>
      <c r="S12" s="3"/>
      <c r="U12" s="3">
        <v>50</v>
      </c>
      <c r="V12" s="3">
        <v>23000</v>
      </c>
      <c r="W12" s="74"/>
      <c r="X12" s="40">
        <f t="shared" si="1"/>
        <v>23000</v>
      </c>
      <c r="Z12" s="185"/>
      <c r="AA12" s="186"/>
      <c r="AB12" s="186"/>
      <c r="AC12" s="187"/>
    </row>
    <row r="13" spans="1:33" ht="18" customHeight="1" thickTop="1" thickBot="1" x14ac:dyDescent="0.35">
      <c r="A13" s="40"/>
      <c r="B13" s="40"/>
      <c r="E13" s="3">
        <v>18</v>
      </c>
      <c r="F13" s="28">
        <f t="shared" si="3"/>
        <v>8.1818181818181817</v>
      </c>
      <c r="G13" s="3">
        <v>2</v>
      </c>
      <c r="H13" s="26">
        <f t="shared" si="0"/>
        <v>0.1111111111111111</v>
      </c>
      <c r="L13" s="176" t="s">
        <v>46</v>
      </c>
      <c r="M13" s="176"/>
      <c r="N13" s="12"/>
      <c r="P13" s="3">
        <v>92</v>
      </c>
      <c r="Q13" s="3">
        <v>92</v>
      </c>
      <c r="R13" s="3"/>
      <c r="S13" s="3"/>
      <c r="U13" s="3">
        <v>55</v>
      </c>
      <c r="V13" s="3">
        <v>24000</v>
      </c>
      <c r="W13" s="74"/>
      <c r="X13" s="40">
        <f t="shared" si="1"/>
        <v>24000</v>
      </c>
      <c r="Z13" s="188"/>
      <c r="AA13" s="189"/>
      <c r="AB13" s="189"/>
      <c r="AC13" s="190"/>
    </row>
    <row r="14" spans="1:33" ht="18" customHeight="1" thickTop="1" x14ac:dyDescent="0.25">
      <c r="A14" s="40" t="s">
        <v>51</v>
      </c>
      <c r="B14" s="74">
        <v>24</v>
      </c>
      <c r="E14" s="3">
        <v>19</v>
      </c>
      <c r="F14" s="28">
        <v>8.6</v>
      </c>
      <c r="G14" s="3">
        <v>2</v>
      </c>
      <c r="H14" s="26">
        <f t="shared" si="0"/>
        <v>0.10526315789473684</v>
      </c>
      <c r="L14" s="62" t="s">
        <v>56</v>
      </c>
      <c r="M14" s="219">
        <f>_xlfn.XLOOKUP(M11,Q5:Q56,P5:P56,"Add Fan?",1,1)</f>
        <v>70</v>
      </c>
      <c r="P14" s="3">
        <v>91</v>
      </c>
      <c r="Q14" s="3">
        <v>91</v>
      </c>
      <c r="R14" s="3"/>
      <c r="S14" s="3"/>
      <c r="T14" s="35" t="s">
        <v>34</v>
      </c>
      <c r="U14" s="86"/>
      <c r="V14" s="86"/>
      <c r="W14" s="40"/>
      <c r="X14" s="40">
        <f t="shared" si="1"/>
        <v>0</v>
      </c>
    </row>
    <row r="15" spans="1:33" ht="18" customHeight="1" x14ac:dyDescent="0.25">
      <c r="A15" s="40"/>
      <c r="B15" s="40"/>
      <c r="E15" s="3">
        <v>20</v>
      </c>
      <c r="F15" s="28">
        <f t="shared" ref="F15:F18" si="4">E15/2.2</f>
        <v>9.0909090909090899</v>
      </c>
      <c r="G15" s="3">
        <v>2</v>
      </c>
      <c r="H15" s="26">
        <f t="shared" si="0"/>
        <v>0.1</v>
      </c>
      <c r="L15" s="36" t="s">
        <v>42</v>
      </c>
      <c r="M15" s="217">
        <f>0.01*VLOOKUP(M14,P5:Q55,2,FALSE)*M9</f>
        <v>2448</v>
      </c>
      <c r="P15" s="3">
        <v>90</v>
      </c>
      <c r="Q15" s="3">
        <v>90</v>
      </c>
      <c r="R15" s="3"/>
      <c r="S15" s="3"/>
      <c r="U15" s="3"/>
      <c r="V15" s="3"/>
      <c r="W15" s="3"/>
      <c r="X15" s="3"/>
    </row>
    <row r="16" spans="1:33" ht="18" customHeight="1" thickBot="1" x14ac:dyDescent="0.3">
      <c r="A16" s="40" t="s">
        <v>25</v>
      </c>
      <c r="B16" s="214">
        <f>B14*20</f>
        <v>480</v>
      </c>
      <c r="E16" s="3">
        <v>21</v>
      </c>
      <c r="F16" s="28">
        <f t="shared" si="4"/>
        <v>9.545454545454545</v>
      </c>
      <c r="G16" s="3">
        <v>2.1</v>
      </c>
      <c r="H16" s="26">
        <f t="shared" si="0"/>
        <v>0.1</v>
      </c>
      <c r="P16" s="3">
        <v>89</v>
      </c>
      <c r="Q16" s="3">
        <v>89</v>
      </c>
      <c r="R16" s="3"/>
      <c r="S16" s="3"/>
      <c r="U16" s="3"/>
      <c r="V16" s="3"/>
      <c r="W16" s="3"/>
      <c r="X16" s="3"/>
    </row>
    <row r="17" spans="1:31" ht="18" customHeight="1" thickTop="1" thickBot="1" x14ac:dyDescent="0.35">
      <c r="A17" s="40"/>
      <c r="B17" s="40"/>
      <c r="E17" s="3">
        <v>22</v>
      </c>
      <c r="F17" s="28">
        <f t="shared" si="4"/>
        <v>10</v>
      </c>
      <c r="G17" s="3">
        <v>2.1</v>
      </c>
      <c r="H17" s="26">
        <f t="shared" si="0"/>
        <v>9.5454545454545459E-2</v>
      </c>
      <c r="L17" s="177" t="s">
        <v>36</v>
      </c>
      <c r="M17" s="178"/>
      <c r="P17" s="3">
        <v>88</v>
      </c>
      <c r="Q17" s="3">
        <v>88</v>
      </c>
      <c r="R17" s="3"/>
      <c r="S17" s="3"/>
      <c r="U17" s="3"/>
      <c r="V17" s="3"/>
      <c r="W17" s="3"/>
      <c r="X17" s="3"/>
      <c r="Y17" s="123" t="s">
        <v>76</v>
      </c>
      <c r="Z17" s="209"/>
      <c r="AA17" s="209"/>
      <c r="AB17" s="124"/>
      <c r="AC17" s="12"/>
    </row>
    <row r="18" spans="1:31" ht="18" customHeight="1" thickTop="1" x14ac:dyDescent="0.25">
      <c r="A18" s="40"/>
      <c r="B18" s="40"/>
      <c r="E18" s="3">
        <v>23</v>
      </c>
      <c r="F18" s="28">
        <f t="shared" si="4"/>
        <v>10.454545454545453</v>
      </c>
      <c r="G18" s="3">
        <v>2.1</v>
      </c>
      <c r="H18" s="26">
        <f t="shared" si="0"/>
        <v>9.1304347826086957E-2</v>
      </c>
      <c r="L18" s="175" t="s">
        <v>41</v>
      </c>
      <c r="M18" s="175"/>
      <c r="N18" s="173"/>
      <c r="P18" s="3">
        <v>87</v>
      </c>
      <c r="Q18" s="3">
        <v>87</v>
      </c>
      <c r="R18" s="3"/>
      <c r="S18" s="3"/>
      <c r="U18" s="3"/>
      <c r="V18" s="3"/>
      <c r="W18" s="3"/>
      <c r="X18" s="3"/>
      <c r="Y18" s="208" t="s">
        <v>84</v>
      </c>
      <c r="Z18" s="208"/>
      <c r="AA18" s="208"/>
      <c r="AB18" s="208"/>
    </row>
    <row r="19" spans="1:31" ht="18" customHeight="1" x14ac:dyDescent="0.25">
      <c r="A19" s="48" t="s">
        <v>53</v>
      </c>
      <c r="B19" s="214" cm="1">
        <f t="array" ref="B19" xml:space="preserve"> _xlfn.IFS(AF1=1,B10, AF1=2,B16)</f>
        <v>2400</v>
      </c>
      <c r="E19" s="3">
        <v>24</v>
      </c>
      <c r="F19" s="28">
        <v>10.9</v>
      </c>
      <c r="G19" s="3">
        <v>2.2000000000000002</v>
      </c>
      <c r="H19" s="26">
        <f t="shared" si="0"/>
        <v>9.1666666666666674E-2</v>
      </c>
      <c r="P19" s="3">
        <v>86</v>
      </c>
      <c r="Q19" s="3">
        <v>86</v>
      </c>
      <c r="R19" s="3"/>
      <c r="S19" s="3"/>
      <c r="U19" s="32"/>
      <c r="V19" s="32"/>
      <c r="W19" s="210" t="s">
        <v>46</v>
      </c>
      <c r="X19" s="210"/>
      <c r="Y19" s="210"/>
      <c r="Z19" s="210"/>
      <c r="AA19" s="38">
        <f>ROUND((M15/AA8)/(AA6/12*AA5*AA4)*12*X20,1)</f>
        <v>0.5</v>
      </c>
      <c r="AB19" s="211" t="s">
        <v>49</v>
      </c>
      <c r="AC19" s="211"/>
      <c r="AD19" s="211"/>
    </row>
    <row r="20" spans="1:31" ht="18" customHeight="1" x14ac:dyDescent="0.3">
      <c r="A20" s="3"/>
      <c r="B20" s="3"/>
      <c r="E20" s="3">
        <v>25</v>
      </c>
      <c r="F20" s="28">
        <f t="shared" ref="F20:F56" si="5">E20/2.2</f>
        <v>11.363636363636363</v>
      </c>
      <c r="G20" s="3">
        <v>2.2000000000000002</v>
      </c>
      <c r="H20" s="26">
        <f t="shared" si="0"/>
        <v>8.8000000000000009E-2</v>
      </c>
      <c r="L20" s="36" t="s">
        <v>37</v>
      </c>
      <c r="M20" s="220">
        <f>$M$11</f>
        <v>66.666666666666657</v>
      </c>
      <c r="P20" s="3">
        <v>85</v>
      </c>
      <c r="Q20" s="3">
        <v>85</v>
      </c>
      <c r="R20" s="3"/>
      <c r="S20" s="3"/>
      <c r="T20" s="207" t="s">
        <v>79</v>
      </c>
      <c r="U20" s="207"/>
      <c r="V20" s="207"/>
      <c r="W20" s="87" t="s">
        <v>100</v>
      </c>
      <c r="X20" s="63" cm="1">
        <f t="array" ref="X20">_xlfn.IFS(W20="High",AE21,W20="Medium",AE22,W20="Low",AE23,TRUE,AE20)</f>
        <v>1</v>
      </c>
      <c r="Y20" s="63"/>
      <c r="AA20" s="3"/>
      <c r="AB20" s="211"/>
      <c r="AC20" s="211"/>
      <c r="AD20" s="211"/>
      <c r="AE20" s="30">
        <v>1</v>
      </c>
    </row>
    <row r="21" spans="1:31" ht="18" customHeight="1" x14ac:dyDescent="0.25">
      <c r="A21" s="58" t="s">
        <v>68</v>
      </c>
      <c r="B21" s="59"/>
      <c r="C21" s="60"/>
      <c r="D21" s="60"/>
      <c r="E21" s="3">
        <v>26</v>
      </c>
      <c r="F21" s="28">
        <f t="shared" si="5"/>
        <v>11.818181818181817</v>
      </c>
      <c r="G21" s="3">
        <v>2.2000000000000002</v>
      </c>
      <c r="H21" s="26">
        <f t="shared" si="0"/>
        <v>8.461538461538462E-2</v>
      </c>
      <c r="P21" s="3">
        <v>84</v>
      </c>
      <c r="Q21" s="3">
        <v>84</v>
      </c>
      <c r="R21" s="3"/>
      <c r="S21" s="3"/>
      <c r="U21" s="3"/>
      <c r="V21" s="3"/>
      <c r="W21" s="210" t="s">
        <v>36</v>
      </c>
      <c r="X21" s="210"/>
      <c r="Y21" s="210"/>
      <c r="Z21" s="210"/>
      <c r="AA21" s="38">
        <f>ROUND((M9/AA8)/(AA6/12*AA5*AA4)*12*X20,1)</f>
        <v>0.7</v>
      </c>
      <c r="AB21" s="211"/>
      <c r="AC21" s="211"/>
      <c r="AD21" s="211"/>
      <c r="AE21" s="30">
        <v>0.9</v>
      </c>
    </row>
    <row r="22" spans="1:31" ht="18" customHeight="1" x14ac:dyDescent="0.25">
      <c r="A22" s="106" t="s">
        <v>69</v>
      </c>
      <c r="B22" s="106"/>
      <c r="C22" s="106"/>
      <c r="D22" s="106"/>
      <c r="E22" s="3">
        <v>27</v>
      </c>
      <c r="F22" s="28">
        <f t="shared" si="5"/>
        <v>12.272727272727272</v>
      </c>
      <c r="G22" s="3">
        <v>2.2000000000000002</v>
      </c>
      <c r="H22" s="26">
        <f t="shared" si="0"/>
        <v>8.1481481481481488E-2</v>
      </c>
      <c r="L22" s="36" t="s">
        <v>38</v>
      </c>
      <c r="M22">
        <v>300</v>
      </c>
      <c r="P22" s="3">
        <v>83</v>
      </c>
      <c r="Q22" s="3">
        <v>83</v>
      </c>
      <c r="R22" s="3"/>
      <c r="S22" s="3"/>
      <c r="V22" s="3"/>
      <c r="W22" s="3"/>
      <c r="X22" s="3"/>
      <c r="AC22" s="30"/>
      <c r="AE22" s="30">
        <v>0.8</v>
      </c>
    </row>
    <row r="23" spans="1:31" ht="18" customHeight="1" x14ac:dyDescent="0.25">
      <c r="A23" s="106"/>
      <c r="B23" s="106"/>
      <c r="C23" s="106"/>
      <c r="D23" s="106"/>
      <c r="E23" s="3">
        <v>28</v>
      </c>
      <c r="F23" s="28">
        <f t="shared" si="5"/>
        <v>12.727272727272727</v>
      </c>
      <c r="G23" s="3">
        <v>2.2000000000000002</v>
      </c>
      <c r="H23" s="26">
        <f t="shared" si="0"/>
        <v>7.8571428571428584E-2</v>
      </c>
      <c r="P23" s="3">
        <v>82</v>
      </c>
      <c r="Q23" s="3">
        <v>82</v>
      </c>
      <c r="R23" s="3"/>
      <c r="S23" s="3"/>
      <c r="V23" s="3"/>
      <c r="W23" s="3"/>
      <c r="X23" s="3"/>
      <c r="AC23" s="30"/>
      <c r="AE23" s="30">
        <v>0.7</v>
      </c>
    </row>
    <row r="24" spans="1:31" ht="18" customHeight="1" thickBot="1" x14ac:dyDescent="0.3">
      <c r="A24" s="106"/>
      <c r="B24" s="106"/>
      <c r="C24" s="106"/>
      <c r="D24" s="106"/>
      <c r="E24" s="3">
        <v>29</v>
      </c>
      <c r="F24" s="28">
        <f t="shared" si="5"/>
        <v>13.18181818181818</v>
      </c>
      <c r="G24" s="3">
        <v>2.2000000000000002</v>
      </c>
      <c r="H24" s="26">
        <f t="shared" si="0"/>
        <v>7.5862068965517254E-2</v>
      </c>
      <c r="L24" s="36" t="s">
        <v>39</v>
      </c>
      <c r="M24" s="91">
        <f>M22*(M20*0.01)</f>
        <v>200</v>
      </c>
      <c r="P24" s="3">
        <v>81</v>
      </c>
      <c r="Q24" s="3">
        <v>81</v>
      </c>
      <c r="R24" s="3"/>
      <c r="S24" s="3"/>
      <c r="U24" s="3"/>
      <c r="V24" s="3"/>
      <c r="W24" s="3"/>
      <c r="X24" s="3"/>
      <c r="AC24" s="30"/>
    </row>
    <row r="25" spans="1:31" ht="18" customHeight="1" thickTop="1" x14ac:dyDescent="0.25">
      <c r="A25" s="106"/>
      <c r="B25" s="106"/>
      <c r="C25" s="106"/>
      <c r="D25" s="106"/>
      <c r="E25" s="3">
        <v>30</v>
      </c>
      <c r="F25" s="28">
        <f t="shared" si="5"/>
        <v>13.636363636363635</v>
      </c>
      <c r="G25" s="3">
        <v>2.2999999999999998</v>
      </c>
      <c r="H25" s="26">
        <f t="shared" si="0"/>
        <v>7.6666666666666661E-2</v>
      </c>
      <c r="L25" s="36" t="s">
        <v>40</v>
      </c>
      <c r="M25" s="91">
        <f>M22-M24</f>
        <v>100</v>
      </c>
      <c r="P25" s="3">
        <v>80</v>
      </c>
      <c r="Q25" s="3">
        <v>80</v>
      </c>
      <c r="R25" s="3"/>
      <c r="S25" s="3"/>
      <c r="U25" s="3"/>
      <c r="V25" s="3"/>
      <c r="W25" s="3"/>
      <c r="X25" s="3"/>
      <c r="Z25" s="198" t="s">
        <v>85</v>
      </c>
      <c r="AA25" s="199"/>
      <c r="AB25" s="199"/>
      <c r="AC25" s="199"/>
      <c r="AD25" s="200"/>
    </row>
    <row r="26" spans="1:31" ht="15.75" customHeight="1" x14ac:dyDescent="0.25">
      <c r="A26" s="106"/>
      <c r="B26" s="106"/>
      <c r="C26" s="106"/>
      <c r="D26" s="106"/>
      <c r="E26" s="3">
        <v>31</v>
      </c>
      <c r="F26" s="28">
        <v>14.1</v>
      </c>
      <c r="G26" s="3">
        <v>2.2999999999999998</v>
      </c>
      <c r="H26" s="26">
        <f t="shared" si="0"/>
        <v>7.4193548387096769E-2</v>
      </c>
      <c r="P26" s="3">
        <v>79</v>
      </c>
      <c r="Q26" s="3">
        <v>79</v>
      </c>
      <c r="R26" s="3"/>
      <c r="S26" s="3"/>
      <c r="U26" s="3"/>
      <c r="V26" s="3"/>
      <c r="W26" s="3"/>
      <c r="X26" s="3"/>
      <c r="Z26" s="201"/>
      <c r="AA26" s="202"/>
      <c r="AB26" s="202"/>
      <c r="AC26" s="202"/>
      <c r="AD26" s="203"/>
    </row>
    <row r="27" spans="1:31" ht="15" customHeight="1" x14ac:dyDescent="0.25">
      <c r="A27" s="106" t="s">
        <v>97</v>
      </c>
      <c r="B27" s="106"/>
      <c r="C27" s="106"/>
      <c r="D27" s="106"/>
      <c r="E27" s="3">
        <v>32</v>
      </c>
      <c r="F27" s="28">
        <f t="shared" si="5"/>
        <v>14.545454545454545</v>
      </c>
      <c r="G27" s="3">
        <v>2.2999999999999998</v>
      </c>
      <c r="H27" s="26">
        <f t="shared" si="0"/>
        <v>7.1874999999999994E-2</v>
      </c>
      <c r="K27" s="179" t="s">
        <v>68</v>
      </c>
      <c r="L27" s="179"/>
      <c r="M27" s="60"/>
      <c r="N27" s="60"/>
      <c r="P27" s="3">
        <v>78</v>
      </c>
      <c r="Q27" s="3">
        <v>78</v>
      </c>
      <c r="R27" s="3"/>
      <c r="S27" s="3"/>
      <c r="T27" s="191" t="s">
        <v>68</v>
      </c>
      <c r="U27" s="191"/>
      <c r="V27" s="60"/>
      <c r="W27" s="60"/>
      <c r="X27" s="3"/>
      <c r="Z27" s="201"/>
      <c r="AA27" s="202"/>
      <c r="AB27" s="202"/>
      <c r="AC27" s="202"/>
      <c r="AD27" s="203"/>
    </row>
    <row r="28" spans="1:31" ht="15" customHeight="1" thickBot="1" x14ac:dyDescent="0.3">
      <c r="A28" s="106"/>
      <c r="B28" s="106"/>
      <c r="C28" s="106"/>
      <c r="D28" s="106"/>
      <c r="E28" s="3">
        <v>33</v>
      </c>
      <c r="F28" s="28">
        <f t="shared" si="5"/>
        <v>14.999999999999998</v>
      </c>
      <c r="G28" s="3">
        <v>2.2999999999999998</v>
      </c>
      <c r="H28" s="26">
        <f t="shared" si="0"/>
        <v>6.9696969696969688E-2</v>
      </c>
      <c r="K28" s="106" t="s">
        <v>73</v>
      </c>
      <c r="L28" s="106"/>
      <c r="M28" s="106"/>
      <c r="N28" s="106"/>
      <c r="P28" s="3">
        <v>77</v>
      </c>
      <c r="Q28" s="3">
        <v>77</v>
      </c>
      <c r="R28" s="3"/>
      <c r="S28" s="3"/>
      <c r="T28" s="106" t="s">
        <v>71</v>
      </c>
      <c r="U28" s="106"/>
      <c r="V28" s="106"/>
      <c r="W28" s="106"/>
      <c r="X28" s="3"/>
      <c r="Z28" s="204"/>
      <c r="AA28" s="205"/>
      <c r="AB28" s="205"/>
      <c r="AC28" s="205"/>
      <c r="AD28" s="206"/>
    </row>
    <row r="29" spans="1:31" ht="15.75" thickTop="1" x14ac:dyDescent="0.25">
      <c r="A29" s="106"/>
      <c r="B29" s="106"/>
      <c r="C29" s="106"/>
      <c r="D29" s="106"/>
      <c r="E29" s="3">
        <v>34</v>
      </c>
      <c r="F29" s="28">
        <f t="shared" si="5"/>
        <v>15.454545454545453</v>
      </c>
      <c r="G29" s="3">
        <v>2.4</v>
      </c>
      <c r="H29" s="26">
        <f t="shared" si="0"/>
        <v>7.0588235294117646E-2</v>
      </c>
      <c r="K29" s="106"/>
      <c r="L29" s="106"/>
      <c r="M29" s="106"/>
      <c r="N29" s="106"/>
      <c r="P29" s="3">
        <v>76</v>
      </c>
      <c r="Q29" s="3">
        <v>76</v>
      </c>
      <c r="R29" s="3"/>
      <c r="S29" s="3"/>
      <c r="T29" s="106"/>
      <c r="U29" s="106"/>
      <c r="V29" s="106"/>
      <c r="W29" s="106"/>
      <c r="X29" s="3"/>
    </row>
    <row r="30" spans="1:31" x14ac:dyDescent="0.25">
      <c r="A30" s="106"/>
      <c r="B30" s="106"/>
      <c r="C30" s="106"/>
      <c r="D30" s="106"/>
      <c r="E30" s="3">
        <v>35</v>
      </c>
      <c r="F30" s="28">
        <f t="shared" si="5"/>
        <v>15.909090909090908</v>
      </c>
      <c r="G30" s="3">
        <v>2.4</v>
      </c>
      <c r="H30" s="26">
        <f t="shared" si="0"/>
        <v>6.8571428571428575E-2</v>
      </c>
      <c r="K30" s="106"/>
      <c r="L30" s="106"/>
      <c r="M30" s="106"/>
      <c r="N30" s="106"/>
      <c r="P30" s="3">
        <v>75</v>
      </c>
      <c r="Q30" s="3">
        <v>75</v>
      </c>
      <c r="R30" s="3"/>
      <c r="S30" s="3"/>
      <c r="T30" s="106"/>
      <c r="U30" s="106"/>
      <c r="V30" s="106"/>
      <c r="W30" s="106"/>
      <c r="X30" s="3"/>
    </row>
    <row r="31" spans="1:31" x14ac:dyDescent="0.25">
      <c r="A31" s="3"/>
      <c r="B31" s="3"/>
      <c r="E31" s="3">
        <v>36</v>
      </c>
      <c r="F31" s="28">
        <f t="shared" si="5"/>
        <v>16.363636363636363</v>
      </c>
      <c r="G31" s="3">
        <v>2.4</v>
      </c>
      <c r="H31" s="26">
        <f t="shared" si="0"/>
        <v>6.6666666666666666E-2</v>
      </c>
      <c r="K31" s="106"/>
      <c r="L31" s="106"/>
      <c r="M31" s="106"/>
      <c r="N31" s="106"/>
      <c r="P31" s="3">
        <v>74</v>
      </c>
      <c r="Q31" s="3">
        <f>Q30-1.4</f>
        <v>73.599999999999994</v>
      </c>
      <c r="R31" s="3"/>
      <c r="S31" s="3"/>
      <c r="T31" s="106" t="s">
        <v>72</v>
      </c>
      <c r="U31" s="106"/>
      <c r="V31" s="106"/>
      <c r="W31" s="106"/>
      <c r="X31" s="3"/>
    </row>
    <row r="32" spans="1:31" x14ac:dyDescent="0.25">
      <c r="A32" s="3"/>
      <c r="B32" s="3"/>
      <c r="E32" s="3">
        <v>37</v>
      </c>
      <c r="F32" s="28">
        <f t="shared" si="5"/>
        <v>16.818181818181817</v>
      </c>
      <c r="G32" s="3">
        <v>2.5</v>
      </c>
      <c r="H32" s="26">
        <f t="shared" si="0"/>
        <v>6.7567567567567571E-2</v>
      </c>
      <c r="K32" s="106"/>
      <c r="L32" s="106"/>
      <c r="M32" s="106"/>
      <c r="N32" s="106"/>
      <c r="P32" s="3">
        <v>73</v>
      </c>
      <c r="Q32" s="3">
        <f t="shared" ref="Q32:Q34" si="6">Q31-1.4</f>
        <v>72.199999999999989</v>
      </c>
      <c r="R32" s="3"/>
      <c r="S32" s="3"/>
      <c r="T32" s="106"/>
      <c r="U32" s="106"/>
      <c r="V32" s="106"/>
      <c r="W32" s="106"/>
      <c r="X32" s="3"/>
    </row>
    <row r="33" spans="1:24" ht="15" customHeight="1" x14ac:dyDescent="0.25">
      <c r="A33" s="3"/>
      <c r="B33" s="3"/>
      <c r="E33" s="3">
        <v>38</v>
      </c>
      <c r="F33" s="28">
        <f t="shared" si="5"/>
        <v>17.27272727272727</v>
      </c>
      <c r="G33" s="3">
        <v>2.5</v>
      </c>
      <c r="H33" s="26">
        <f t="shared" si="0"/>
        <v>6.5789473684210523E-2</v>
      </c>
      <c r="K33" s="106" t="s">
        <v>70</v>
      </c>
      <c r="L33" s="106"/>
      <c r="M33" s="106"/>
      <c r="N33" s="106"/>
      <c r="P33" s="3">
        <v>72</v>
      </c>
      <c r="Q33" s="3">
        <f t="shared" si="6"/>
        <v>70.799999999999983</v>
      </c>
      <c r="R33" s="3"/>
      <c r="S33" s="3"/>
      <c r="T33" s="106" t="s">
        <v>80</v>
      </c>
      <c r="U33" s="106"/>
      <c r="V33" s="106"/>
      <c r="W33" s="106"/>
      <c r="X33" s="3"/>
    </row>
    <row r="34" spans="1:24" x14ac:dyDescent="0.25">
      <c r="A34" s="3"/>
      <c r="B34" s="3"/>
      <c r="E34" s="3">
        <v>39</v>
      </c>
      <c r="F34" s="28">
        <f t="shared" si="5"/>
        <v>17.727272727272727</v>
      </c>
      <c r="G34" s="3">
        <v>2.5</v>
      </c>
      <c r="H34" s="26">
        <f t="shared" si="0"/>
        <v>6.4102564102564097E-2</v>
      </c>
      <c r="K34" s="106"/>
      <c r="L34" s="106"/>
      <c r="M34" s="106"/>
      <c r="N34" s="106"/>
      <c r="P34" s="3">
        <v>71</v>
      </c>
      <c r="Q34" s="3">
        <f t="shared" si="6"/>
        <v>69.399999999999977</v>
      </c>
      <c r="R34" s="3"/>
      <c r="S34" s="3"/>
      <c r="T34" s="106"/>
      <c r="U34" s="106"/>
      <c r="V34" s="106"/>
      <c r="W34" s="106"/>
      <c r="X34" s="3"/>
    </row>
    <row r="35" spans="1:24" x14ac:dyDescent="0.25">
      <c r="A35" s="3"/>
      <c r="B35" s="3"/>
      <c r="E35" s="3">
        <v>40</v>
      </c>
      <c r="F35" s="28">
        <f t="shared" si="5"/>
        <v>18.18181818181818</v>
      </c>
      <c r="G35" s="3">
        <v>2.5</v>
      </c>
      <c r="H35" s="26">
        <f t="shared" si="0"/>
        <v>6.25E-2</v>
      </c>
      <c r="K35" s="106"/>
      <c r="L35" s="106"/>
      <c r="M35" s="106"/>
      <c r="N35" s="106"/>
      <c r="P35" s="3">
        <v>70</v>
      </c>
      <c r="Q35" s="3">
        <v>68</v>
      </c>
      <c r="R35" s="3"/>
      <c r="S35" s="3"/>
      <c r="T35" s="106"/>
      <c r="U35" s="106"/>
      <c r="V35" s="106"/>
      <c r="W35" s="106"/>
      <c r="X35" s="3"/>
    </row>
    <row r="36" spans="1:24" x14ac:dyDescent="0.25">
      <c r="A36" s="3"/>
      <c r="B36" s="3"/>
      <c r="E36" s="3">
        <v>41</v>
      </c>
      <c r="F36" s="28">
        <v>18.600000000000001</v>
      </c>
      <c r="G36" s="3">
        <v>2.6</v>
      </c>
      <c r="H36" s="26">
        <f t="shared" si="0"/>
        <v>6.3414634146341464E-2</v>
      </c>
      <c r="K36" s="106"/>
      <c r="L36" s="106"/>
      <c r="M36" s="106"/>
      <c r="N36" s="106"/>
      <c r="P36" s="3">
        <v>69</v>
      </c>
      <c r="Q36" s="3">
        <f>Q35-1.4</f>
        <v>66.599999999999994</v>
      </c>
      <c r="R36" s="3"/>
      <c r="S36" s="3"/>
      <c r="V36" s="3"/>
      <c r="W36" s="3"/>
      <c r="X36" s="3"/>
    </row>
    <row r="37" spans="1:24" ht="15" customHeight="1" x14ac:dyDescent="0.25">
      <c r="A37" s="3"/>
      <c r="B37" s="3"/>
      <c r="E37" s="3">
        <v>42</v>
      </c>
      <c r="F37" s="28">
        <f t="shared" si="5"/>
        <v>19.09090909090909</v>
      </c>
      <c r="G37" s="3">
        <v>2.6</v>
      </c>
      <c r="H37" s="26">
        <f t="shared" si="0"/>
        <v>6.1904761904761907E-2</v>
      </c>
      <c r="K37" s="106" t="s">
        <v>96</v>
      </c>
      <c r="L37" s="106"/>
      <c r="M37" s="106"/>
      <c r="N37" s="106"/>
      <c r="P37" s="3">
        <v>68</v>
      </c>
      <c r="Q37" s="3">
        <f t="shared" ref="Q37:Q39" si="7">Q36-1.4</f>
        <v>65.199999999999989</v>
      </c>
      <c r="R37" s="3"/>
      <c r="S37" s="3"/>
      <c r="V37" s="3"/>
      <c r="W37" s="3"/>
      <c r="X37" s="3"/>
    </row>
    <row r="38" spans="1:24" x14ac:dyDescent="0.25">
      <c r="A38" s="3"/>
      <c r="B38" s="3"/>
      <c r="E38" s="3">
        <v>43</v>
      </c>
      <c r="F38" s="28">
        <f t="shared" si="5"/>
        <v>19.545454545454543</v>
      </c>
      <c r="G38" s="3">
        <v>2.6</v>
      </c>
      <c r="H38" s="26">
        <f t="shared" si="0"/>
        <v>6.0465116279069767E-2</v>
      </c>
      <c r="K38" s="106"/>
      <c r="L38" s="106"/>
      <c r="M38" s="106"/>
      <c r="N38" s="106"/>
      <c r="P38" s="3">
        <v>67</v>
      </c>
      <c r="Q38" s="3">
        <f t="shared" si="7"/>
        <v>63.79999999999999</v>
      </c>
      <c r="R38" s="3"/>
      <c r="S38" s="3"/>
      <c r="V38" s="3"/>
      <c r="W38" s="3"/>
      <c r="X38" s="3"/>
    </row>
    <row r="39" spans="1:24" x14ac:dyDescent="0.25">
      <c r="A39" s="3"/>
      <c r="B39" s="3"/>
      <c r="E39" s="3">
        <v>44</v>
      </c>
      <c r="F39" s="28">
        <f t="shared" si="5"/>
        <v>20</v>
      </c>
      <c r="G39" s="3">
        <v>2.7</v>
      </c>
      <c r="H39" s="26">
        <f t="shared" si="0"/>
        <v>6.136363636363637E-2</v>
      </c>
      <c r="K39" s="106"/>
      <c r="L39" s="106"/>
      <c r="M39" s="106"/>
      <c r="N39" s="106"/>
      <c r="P39" s="3">
        <v>66</v>
      </c>
      <c r="Q39" s="3">
        <f t="shared" si="7"/>
        <v>62.399999999999991</v>
      </c>
      <c r="R39" s="3"/>
      <c r="S39" s="3"/>
      <c r="V39" s="3"/>
      <c r="W39" s="3"/>
      <c r="X39" s="3"/>
    </row>
    <row r="40" spans="1:24" x14ac:dyDescent="0.25">
      <c r="A40" s="3"/>
      <c r="B40" s="3"/>
      <c r="E40" s="3">
        <v>45</v>
      </c>
      <c r="F40" s="28">
        <f t="shared" si="5"/>
        <v>20.454545454545453</v>
      </c>
      <c r="G40" s="3">
        <v>2.7</v>
      </c>
      <c r="H40" s="26">
        <f t="shared" si="0"/>
        <v>6.0000000000000005E-2</v>
      </c>
      <c r="K40" s="106"/>
      <c r="L40" s="106"/>
      <c r="M40" s="106"/>
      <c r="N40" s="106"/>
      <c r="P40" s="3">
        <v>65</v>
      </c>
      <c r="Q40" s="3">
        <v>61</v>
      </c>
      <c r="R40" s="3"/>
      <c r="S40" s="3"/>
      <c r="V40" s="3"/>
      <c r="W40" s="3"/>
      <c r="X40" s="3"/>
    </row>
    <row r="41" spans="1:24" x14ac:dyDescent="0.25">
      <c r="A41" s="3"/>
      <c r="B41" s="3"/>
      <c r="E41" s="3">
        <v>46</v>
      </c>
      <c r="F41" s="28">
        <f t="shared" si="5"/>
        <v>20.909090909090907</v>
      </c>
      <c r="G41" s="3">
        <v>2.7</v>
      </c>
      <c r="H41" s="26">
        <f t="shared" si="0"/>
        <v>5.8695652173913045E-2</v>
      </c>
      <c r="K41" s="106"/>
      <c r="L41" s="106"/>
      <c r="M41" s="106"/>
      <c r="N41" s="106"/>
      <c r="P41" s="3">
        <v>64</v>
      </c>
      <c r="Q41" s="3">
        <f>Q40-1.4</f>
        <v>59.6</v>
      </c>
      <c r="R41" s="3"/>
      <c r="S41" s="3"/>
      <c r="V41" s="3"/>
      <c r="W41" s="3"/>
      <c r="X41" s="3"/>
    </row>
    <row r="42" spans="1:24" x14ac:dyDescent="0.25">
      <c r="A42" s="3"/>
      <c r="B42" s="3"/>
      <c r="E42" s="3">
        <v>47</v>
      </c>
      <c r="F42" s="28">
        <f t="shared" si="5"/>
        <v>21.363636363636363</v>
      </c>
      <c r="G42" s="3">
        <v>2.8</v>
      </c>
      <c r="H42" s="26">
        <f t="shared" si="0"/>
        <v>5.9574468085106379E-2</v>
      </c>
      <c r="K42" s="106"/>
      <c r="L42" s="106"/>
      <c r="M42" s="106"/>
      <c r="N42" s="106"/>
      <c r="P42" s="3">
        <v>63</v>
      </c>
      <c r="Q42" s="3">
        <f t="shared" ref="Q42:Q44" si="8">Q41-1.4</f>
        <v>58.2</v>
      </c>
      <c r="R42" s="3"/>
      <c r="S42" s="3"/>
      <c r="V42" s="3"/>
      <c r="W42" s="3"/>
      <c r="X42" s="3"/>
    </row>
    <row r="43" spans="1:24" x14ac:dyDescent="0.25">
      <c r="A43" s="3"/>
      <c r="B43" s="3"/>
      <c r="E43" s="3">
        <v>48</v>
      </c>
      <c r="F43" s="28">
        <f t="shared" si="5"/>
        <v>21.818181818181817</v>
      </c>
      <c r="G43" s="3">
        <v>2.8</v>
      </c>
      <c r="H43" s="26">
        <f t="shared" si="0"/>
        <v>5.8333333333333327E-2</v>
      </c>
      <c r="K43" s="106"/>
      <c r="L43" s="106"/>
      <c r="M43" s="106"/>
      <c r="N43" s="106"/>
      <c r="P43" s="3">
        <v>62</v>
      </c>
      <c r="Q43" s="3">
        <f t="shared" si="8"/>
        <v>56.800000000000004</v>
      </c>
      <c r="R43" s="3"/>
      <c r="S43" s="3"/>
      <c r="V43" s="3"/>
      <c r="W43" s="3"/>
      <c r="X43" s="3"/>
    </row>
    <row r="44" spans="1:24" x14ac:dyDescent="0.25">
      <c r="A44" s="3"/>
      <c r="B44" s="3"/>
      <c r="E44" s="3">
        <v>49</v>
      </c>
      <c r="F44" s="28">
        <f t="shared" si="5"/>
        <v>22.27272727272727</v>
      </c>
      <c r="G44" s="3">
        <v>2.8</v>
      </c>
      <c r="H44" s="26">
        <f t="shared" si="0"/>
        <v>5.7142857142857141E-2</v>
      </c>
      <c r="P44" s="3">
        <v>61</v>
      </c>
      <c r="Q44" s="3">
        <f t="shared" si="8"/>
        <v>55.400000000000006</v>
      </c>
      <c r="R44" s="3"/>
      <c r="S44" s="3"/>
      <c r="V44" s="3"/>
      <c r="W44" s="3"/>
      <c r="X44" s="3"/>
    </row>
    <row r="45" spans="1:24" x14ac:dyDescent="0.25">
      <c r="A45" s="3"/>
      <c r="B45" s="3"/>
      <c r="E45" s="3">
        <v>50</v>
      </c>
      <c r="F45" s="28">
        <f t="shared" si="5"/>
        <v>22.727272727272727</v>
      </c>
      <c r="G45" s="3">
        <v>2.8</v>
      </c>
      <c r="H45" s="26">
        <f t="shared" si="0"/>
        <v>5.5999999999999994E-2</v>
      </c>
      <c r="P45" s="3">
        <v>60</v>
      </c>
      <c r="Q45" s="3">
        <v>54</v>
      </c>
      <c r="R45" s="3"/>
      <c r="S45" s="3"/>
      <c r="V45" s="3"/>
      <c r="W45" s="3"/>
      <c r="X45" s="3"/>
    </row>
    <row r="46" spans="1:24" x14ac:dyDescent="0.25">
      <c r="A46" s="3"/>
      <c r="B46" s="3"/>
      <c r="E46" s="3">
        <v>51</v>
      </c>
      <c r="F46" s="28">
        <v>23.1</v>
      </c>
      <c r="G46" s="3">
        <v>2.9</v>
      </c>
      <c r="H46" s="26">
        <f t="shared" si="0"/>
        <v>5.6862745098039215E-2</v>
      </c>
      <c r="P46" s="3">
        <v>59</v>
      </c>
      <c r="Q46" s="3">
        <f>Q45-1.5</f>
        <v>52.5</v>
      </c>
      <c r="R46" s="3"/>
      <c r="S46" s="3"/>
      <c r="V46" s="3"/>
      <c r="W46" s="3"/>
      <c r="X46" s="3"/>
    </row>
    <row r="47" spans="1:24" x14ac:dyDescent="0.25">
      <c r="A47" s="3"/>
      <c r="B47" s="3"/>
      <c r="E47" s="3">
        <v>52</v>
      </c>
      <c r="F47" s="28">
        <f t="shared" si="5"/>
        <v>23.636363636363633</v>
      </c>
      <c r="G47" s="3">
        <v>2.9</v>
      </c>
      <c r="H47" s="26">
        <f t="shared" si="0"/>
        <v>5.5769230769230765E-2</v>
      </c>
      <c r="P47" s="3">
        <v>58</v>
      </c>
      <c r="Q47" s="3">
        <f t="shared" ref="Q47:Q55" si="9">Q46-1.5</f>
        <v>51</v>
      </c>
      <c r="R47" s="3"/>
      <c r="S47" s="3"/>
      <c r="V47" s="3"/>
      <c r="W47" s="3"/>
      <c r="X47" s="3"/>
    </row>
    <row r="48" spans="1:24" x14ac:dyDescent="0.25">
      <c r="A48" s="3"/>
      <c r="B48" s="3"/>
      <c r="E48" s="3">
        <v>53</v>
      </c>
      <c r="F48" s="28">
        <f t="shared" si="5"/>
        <v>24.09090909090909</v>
      </c>
      <c r="G48" s="3">
        <v>3</v>
      </c>
      <c r="H48" s="26">
        <f t="shared" si="0"/>
        <v>5.6603773584905662E-2</v>
      </c>
      <c r="P48" s="3">
        <v>57</v>
      </c>
      <c r="Q48" s="3">
        <f t="shared" si="9"/>
        <v>49.5</v>
      </c>
      <c r="R48" s="3"/>
      <c r="S48" s="3"/>
      <c r="V48" s="3"/>
      <c r="W48" s="3"/>
      <c r="X48" s="3"/>
    </row>
    <row r="49" spans="1:24" x14ac:dyDescent="0.25">
      <c r="A49" s="3"/>
      <c r="B49" s="3"/>
      <c r="E49" s="3">
        <v>54</v>
      </c>
      <c r="F49" s="28">
        <f t="shared" si="5"/>
        <v>24.545454545454543</v>
      </c>
      <c r="G49" s="3">
        <v>3</v>
      </c>
      <c r="H49" s="26">
        <f t="shared" si="0"/>
        <v>5.5555555555555552E-2</v>
      </c>
      <c r="P49" s="3">
        <v>56</v>
      </c>
      <c r="Q49" s="3">
        <f t="shared" si="9"/>
        <v>48</v>
      </c>
      <c r="R49" s="3"/>
      <c r="S49" s="3"/>
      <c r="V49" s="3"/>
      <c r="W49" s="3"/>
      <c r="X49" s="3"/>
    </row>
    <row r="50" spans="1:24" x14ac:dyDescent="0.25">
      <c r="A50" s="3"/>
      <c r="B50" s="3"/>
      <c r="E50" s="3">
        <v>55</v>
      </c>
      <c r="F50" s="28">
        <f t="shared" si="5"/>
        <v>24.999999999999996</v>
      </c>
      <c r="G50" s="3">
        <v>3.1</v>
      </c>
      <c r="H50" s="26">
        <f t="shared" si="0"/>
        <v>5.6363636363636366E-2</v>
      </c>
      <c r="P50" s="3">
        <v>55</v>
      </c>
      <c r="Q50" s="3">
        <f t="shared" si="9"/>
        <v>46.5</v>
      </c>
      <c r="R50" s="3"/>
      <c r="S50" s="3"/>
      <c r="V50" s="3"/>
      <c r="W50" s="3"/>
      <c r="X50" s="3"/>
    </row>
    <row r="51" spans="1:24" x14ac:dyDescent="0.25">
      <c r="A51" s="3"/>
      <c r="B51" s="3"/>
      <c r="E51" s="3">
        <v>56</v>
      </c>
      <c r="F51" s="28">
        <f t="shared" si="5"/>
        <v>25.454545454545453</v>
      </c>
      <c r="G51" s="3">
        <v>3.1</v>
      </c>
      <c r="H51" s="26">
        <f t="shared" si="0"/>
        <v>5.5357142857142862E-2</v>
      </c>
      <c r="P51" s="3">
        <v>54</v>
      </c>
      <c r="Q51" s="3">
        <f t="shared" si="9"/>
        <v>45</v>
      </c>
      <c r="R51" s="3"/>
      <c r="S51" s="3"/>
      <c r="V51" s="3"/>
      <c r="W51" s="3"/>
      <c r="X51" s="3"/>
    </row>
    <row r="52" spans="1:24" x14ac:dyDescent="0.25">
      <c r="A52" s="3"/>
      <c r="B52" s="3"/>
      <c r="E52" s="3">
        <v>57</v>
      </c>
      <c r="F52" s="28">
        <f t="shared" si="5"/>
        <v>25.909090909090907</v>
      </c>
      <c r="G52" s="3">
        <v>3.2</v>
      </c>
      <c r="H52" s="26">
        <f t="shared" si="0"/>
        <v>5.6140350877192984E-2</v>
      </c>
      <c r="P52" s="3">
        <v>53</v>
      </c>
      <c r="Q52" s="3">
        <f t="shared" si="9"/>
        <v>43.5</v>
      </c>
      <c r="R52" s="3"/>
      <c r="S52" s="3"/>
      <c r="V52" s="3"/>
      <c r="W52" s="3"/>
      <c r="X52" s="3"/>
    </row>
    <row r="53" spans="1:24" x14ac:dyDescent="0.25">
      <c r="A53" s="3"/>
      <c r="B53" s="3"/>
      <c r="E53" s="3">
        <v>58</v>
      </c>
      <c r="F53" s="28">
        <f t="shared" si="5"/>
        <v>26.36363636363636</v>
      </c>
      <c r="G53" s="3">
        <v>3.2</v>
      </c>
      <c r="H53" s="26">
        <f t="shared" si="0"/>
        <v>5.5172413793103454E-2</v>
      </c>
      <c r="P53" s="3">
        <v>52</v>
      </c>
      <c r="Q53" s="3">
        <f t="shared" si="9"/>
        <v>42</v>
      </c>
      <c r="R53" s="3"/>
      <c r="S53" s="3"/>
      <c r="V53" s="3"/>
      <c r="W53" s="3"/>
      <c r="X53" s="3"/>
    </row>
    <row r="54" spans="1:24" x14ac:dyDescent="0.25">
      <c r="A54" s="3"/>
      <c r="B54" s="3"/>
      <c r="E54" s="3">
        <v>59</v>
      </c>
      <c r="F54" s="28">
        <f t="shared" si="5"/>
        <v>26.818181818181817</v>
      </c>
      <c r="G54" s="3">
        <v>3.3</v>
      </c>
      <c r="H54" s="26">
        <f t="shared" si="0"/>
        <v>5.5932203389830508E-2</v>
      </c>
      <c r="P54" s="3">
        <v>51</v>
      </c>
      <c r="Q54" s="3">
        <f t="shared" si="9"/>
        <v>40.5</v>
      </c>
      <c r="R54" s="3"/>
      <c r="S54" s="3"/>
      <c r="V54" s="3"/>
      <c r="W54" s="3"/>
      <c r="X54" s="3"/>
    </row>
    <row r="55" spans="1:24" x14ac:dyDescent="0.25">
      <c r="A55" s="3"/>
      <c r="B55" s="3"/>
      <c r="E55" s="3">
        <v>60</v>
      </c>
      <c r="F55" s="28">
        <f t="shared" si="5"/>
        <v>27.27272727272727</v>
      </c>
      <c r="G55" s="3">
        <v>3.3</v>
      </c>
      <c r="H55" s="26">
        <f t="shared" si="0"/>
        <v>5.5E-2</v>
      </c>
      <c r="P55" s="3">
        <v>50</v>
      </c>
      <c r="Q55" s="3">
        <f t="shared" si="9"/>
        <v>39</v>
      </c>
      <c r="R55" s="3"/>
      <c r="S55" s="3"/>
      <c r="V55" s="3"/>
      <c r="W55" s="3"/>
      <c r="X55" s="3"/>
    </row>
    <row r="56" spans="1:24" x14ac:dyDescent="0.25">
      <c r="A56" s="3"/>
      <c r="B56" s="3"/>
      <c r="E56" s="3">
        <v>61</v>
      </c>
      <c r="F56" s="28">
        <f t="shared" si="5"/>
        <v>27.727272727272727</v>
      </c>
      <c r="G56" s="3">
        <v>3.3</v>
      </c>
      <c r="H56" s="26">
        <f t="shared" si="0"/>
        <v>5.4098360655737705E-2</v>
      </c>
      <c r="P56" s="3" t="s">
        <v>33</v>
      </c>
      <c r="Q56" s="3">
        <v>38</v>
      </c>
      <c r="R56" s="3"/>
      <c r="V56" s="3"/>
      <c r="W56" s="3"/>
      <c r="X56" s="3"/>
    </row>
    <row r="57" spans="1:24" x14ac:dyDescent="0.25">
      <c r="A57" s="3"/>
      <c r="B57" s="3"/>
      <c r="E57" s="3">
        <v>62</v>
      </c>
      <c r="F57" s="28">
        <v>28.1</v>
      </c>
      <c r="G57" s="3">
        <v>3.3</v>
      </c>
      <c r="H57" s="26">
        <f t="shared" si="0"/>
        <v>5.32258064516129E-2</v>
      </c>
    </row>
    <row r="58" spans="1:24" x14ac:dyDescent="0.25">
      <c r="A58" s="3"/>
      <c r="B58" s="3"/>
      <c r="E58" s="3">
        <v>73</v>
      </c>
      <c r="F58" s="28">
        <v>33.1</v>
      </c>
      <c r="G58" s="3">
        <v>3.9</v>
      </c>
      <c r="H58" s="26">
        <f t="shared" si="0"/>
        <v>5.3424657534246571E-2</v>
      </c>
    </row>
    <row r="59" spans="1:24" x14ac:dyDescent="0.25">
      <c r="A59" s="3"/>
      <c r="B59" s="3"/>
      <c r="E59" s="3">
        <v>86</v>
      </c>
      <c r="F59" s="28">
        <v>39</v>
      </c>
      <c r="G59" s="3">
        <v>4.5</v>
      </c>
      <c r="H59" s="26">
        <f t="shared" si="0"/>
        <v>5.232558139534884E-2</v>
      </c>
    </row>
    <row r="60" spans="1:24" x14ac:dyDescent="0.25">
      <c r="A60" s="3"/>
      <c r="B60" s="3"/>
      <c r="E60" s="3">
        <v>100</v>
      </c>
      <c r="F60" s="28">
        <v>45.4</v>
      </c>
      <c r="G60" s="3">
        <v>5.0999999999999996</v>
      </c>
      <c r="H60" s="26">
        <f t="shared" si="0"/>
        <v>5.0999999999999997E-2</v>
      </c>
    </row>
    <row r="61" spans="1:24" x14ac:dyDescent="0.25">
      <c r="A61" s="3"/>
      <c r="B61" s="3"/>
      <c r="E61" s="3">
        <v>113</v>
      </c>
      <c r="F61" s="28">
        <v>51.3</v>
      </c>
      <c r="G61" s="3">
        <v>5.4</v>
      </c>
      <c r="H61" s="26">
        <f t="shared" si="0"/>
        <v>4.7787610619469033E-2</v>
      </c>
    </row>
    <row r="62" spans="1:24" x14ac:dyDescent="0.25">
      <c r="A62" s="3"/>
      <c r="B62" s="3"/>
      <c r="E62" s="3">
        <v>127</v>
      </c>
      <c r="F62" s="28">
        <v>57.6</v>
      </c>
      <c r="G62" s="3">
        <v>5.9</v>
      </c>
      <c r="H62" s="26">
        <f t="shared" si="0"/>
        <v>4.6456692913385826E-2</v>
      </c>
    </row>
    <row r="63" spans="1:24" x14ac:dyDescent="0.25">
      <c r="A63" s="3"/>
      <c r="B63" s="3"/>
      <c r="E63" s="3">
        <v>142</v>
      </c>
      <c r="F63" s="28">
        <v>64.400000000000006</v>
      </c>
      <c r="G63" s="3">
        <v>6.6</v>
      </c>
      <c r="H63" s="26">
        <f t="shared" si="0"/>
        <v>4.647887323943662E-2</v>
      </c>
    </row>
    <row r="64" spans="1:24" x14ac:dyDescent="0.25">
      <c r="A64" s="3"/>
      <c r="B64" s="3"/>
      <c r="E64" s="3">
        <v>156</v>
      </c>
      <c r="F64" s="28">
        <v>70.8</v>
      </c>
      <c r="G64" s="3">
        <v>7.1</v>
      </c>
      <c r="H64" s="26">
        <f t="shared" si="0"/>
        <v>4.5512820512820511E-2</v>
      </c>
    </row>
    <row r="65" spans="1:8" x14ac:dyDescent="0.25">
      <c r="A65" s="3"/>
      <c r="B65" s="3"/>
      <c r="E65" s="3">
        <v>171</v>
      </c>
      <c r="F65" s="28">
        <v>77.599999999999994</v>
      </c>
      <c r="G65" s="3">
        <v>7.8</v>
      </c>
      <c r="H65" s="26">
        <f t="shared" si="0"/>
        <v>4.5614035087719294E-2</v>
      </c>
    </row>
    <row r="66" spans="1:8" x14ac:dyDescent="0.25">
      <c r="A66" s="3"/>
      <c r="B66" s="3"/>
      <c r="E66" s="3">
        <v>186</v>
      </c>
      <c r="F66" s="28">
        <v>84.4</v>
      </c>
      <c r="G66" s="3">
        <v>8.5</v>
      </c>
      <c r="H66" s="26">
        <f t="shared" si="0"/>
        <v>4.5698924731182797E-2</v>
      </c>
    </row>
    <row r="67" spans="1:8" x14ac:dyDescent="0.25">
      <c r="A67" s="3"/>
      <c r="B67" s="3"/>
      <c r="E67" s="3">
        <v>200</v>
      </c>
      <c r="F67" s="28">
        <v>90.7</v>
      </c>
      <c r="G67" s="3">
        <v>9.1999999999999993</v>
      </c>
      <c r="H67" s="26">
        <f t="shared" si="0"/>
        <v>4.5999999999999999E-2</v>
      </c>
    </row>
    <row r="68" spans="1:8" x14ac:dyDescent="0.25">
      <c r="A68" s="3"/>
      <c r="B68" s="3"/>
      <c r="E68" s="3">
        <v>215</v>
      </c>
      <c r="F68" s="28">
        <v>97.5</v>
      </c>
      <c r="G68" s="3">
        <v>9.9</v>
      </c>
      <c r="H68" s="26">
        <f t="shared" si="0"/>
        <v>4.6046511627906982E-2</v>
      </c>
    </row>
    <row r="69" spans="1:8" x14ac:dyDescent="0.25">
      <c r="A69" s="3"/>
      <c r="B69" s="3"/>
      <c r="E69" s="3">
        <v>230</v>
      </c>
      <c r="F69" s="28">
        <v>104.3</v>
      </c>
      <c r="G69" s="3">
        <v>10.6</v>
      </c>
      <c r="H69" s="26">
        <f t="shared" ref="H69:H76" si="10">G69/E69</f>
        <v>4.6086956521739129E-2</v>
      </c>
    </row>
    <row r="70" spans="1:8" x14ac:dyDescent="0.25">
      <c r="A70" s="3"/>
      <c r="B70" s="3"/>
      <c r="E70" s="3">
        <v>243</v>
      </c>
      <c r="F70" s="28">
        <v>110.2</v>
      </c>
      <c r="G70" s="3">
        <v>11.2</v>
      </c>
      <c r="H70" s="26">
        <f t="shared" si="10"/>
        <v>4.6090534979423864E-2</v>
      </c>
    </row>
    <row r="71" spans="1:8" x14ac:dyDescent="0.25">
      <c r="A71" s="3"/>
      <c r="B71" s="3"/>
      <c r="E71" s="3">
        <v>258</v>
      </c>
      <c r="F71" s="28">
        <v>117</v>
      </c>
      <c r="G71" s="3">
        <v>11.9</v>
      </c>
      <c r="H71" s="26">
        <f t="shared" si="10"/>
        <v>4.6124031007751941E-2</v>
      </c>
    </row>
    <row r="72" spans="1:8" x14ac:dyDescent="0.25">
      <c r="A72" s="3"/>
      <c r="B72" s="3"/>
      <c r="E72" s="3">
        <v>272</v>
      </c>
      <c r="F72" s="28">
        <v>123.4</v>
      </c>
      <c r="G72" s="3">
        <v>12.6</v>
      </c>
      <c r="H72" s="26">
        <f t="shared" si="10"/>
        <v>4.6323529411764708E-2</v>
      </c>
    </row>
    <row r="73" spans="1:8" x14ac:dyDescent="0.25">
      <c r="A73" s="3"/>
      <c r="B73" s="3"/>
      <c r="E73" s="3">
        <v>284</v>
      </c>
      <c r="F73" s="28">
        <v>158.80000000000001</v>
      </c>
      <c r="G73" s="3">
        <v>13.3</v>
      </c>
      <c r="H73" s="26">
        <f t="shared" si="10"/>
        <v>4.6830985915492958E-2</v>
      </c>
    </row>
    <row r="74" spans="1:8" x14ac:dyDescent="0.25">
      <c r="A74" s="3"/>
      <c r="B74" s="3"/>
      <c r="E74" s="3">
        <v>297</v>
      </c>
      <c r="F74" s="28">
        <v>134.69999999999999</v>
      </c>
      <c r="G74" s="3">
        <v>13.9</v>
      </c>
      <c r="H74" s="26">
        <f t="shared" si="10"/>
        <v>4.6801346801346802E-2</v>
      </c>
    </row>
    <row r="75" spans="1:8" x14ac:dyDescent="0.25">
      <c r="A75" s="3"/>
      <c r="B75" s="3"/>
      <c r="E75" s="3">
        <v>310</v>
      </c>
      <c r="F75" s="28">
        <v>140.6</v>
      </c>
      <c r="G75" s="3">
        <v>14.6</v>
      </c>
      <c r="H75" s="26">
        <f t="shared" si="10"/>
        <v>4.7096774193548387E-2</v>
      </c>
    </row>
    <row r="76" spans="1:8" x14ac:dyDescent="0.25">
      <c r="A76" s="3"/>
      <c r="B76" s="3"/>
      <c r="E76" s="3">
        <v>340</v>
      </c>
      <c r="F76" s="28">
        <f t="shared" ref="F76" si="11">E76/2.2</f>
        <v>154.54545454545453</v>
      </c>
      <c r="G76" s="3">
        <v>15.3</v>
      </c>
      <c r="H76" s="26">
        <f t="shared" si="10"/>
        <v>4.5000000000000005E-2</v>
      </c>
    </row>
  </sheetData>
  <sheetProtection algorithmName="SHA-512" hashValue="E+AGKh+Co+h+3t1/8Zxo9iuyyj6LLOY7EI+y7K8LD4ysAvXYvC9jJyRccE+2S8/AIGgiG7B1Bl/9+1VJnJ26TA==" saltValue="LE0DBh8Du74J5NBe2mBdKQ==" spinCount="100000" sheet="1" objects="1" scenarios="1" selectLockedCells="1"/>
  <mergeCells count="36">
    <mergeCell ref="AC7:AG8"/>
    <mergeCell ref="A12:B12"/>
    <mergeCell ref="T33:W35"/>
    <mergeCell ref="Z25:AD28"/>
    <mergeCell ref="T20:V20"/>
    <mergeCell ref="Y18:AB18"/>
    <mergeCell ref="Y17:AB17"/>
    <mergeCell ref="T31:W32"/>
    <mergeCell ref="W19:Z19"/>
    <mergeCell ref="W21:Z21"/>
    <mergeCell ref="AB19:AD21"/>
    <mergeCell ref="A1:B1"/>
    <mergeCell ref="Z10:AC13"/>
    <mergeCell ref="A22:D26"/>
    <mergeCell ref="A27:D30"/>
    <mergeCell ref="T27:U27"/>
    <mergeCell ref="T28:W30"/>
    <mergeCell ref="C5:D6"/>
    <mergeCell ref="K28:N32"/>
    <mergeCell ref="Y4:Z4"/>
    <mergeCell ref="Y5:Z5"/>
    <mergeCell ref="Y6:Z6"/>
    <mergeCell ref="Y7:Z7"/>
    <mergeCell ref="Y8:Z8"/>
    <mergeCell ref="V2:V3"/>
    <mergeCell ref="W2:W3"/>
    <mergeCell ref="Y3:AA3"/>
    <mergeCell ref="K37:N43"/>
    <mergeCell ref="E3:F3"/>
    <mergeCell ref="G3:H3"/>
    <mergeCell ref="P3:Q3"/>
    <mergeCell ref="L18:N18"/>
    <mergeCell ref="L13:M13"/>
    <mergeCell ref="L17:M17"/>
    <mergeCell ref="K27:L27"/>
    <mergeCell ref="K33:N36"/>
  </mergeCells>
  <conditionalFormatting sqref="A1:B1">
    <cfRule type="expression" dxfId="6" priority="2">
      <formula>AF1&lt;2</formula>
    </cfRule>
  </conditionalFormatting>
  <conditionalFormatting sqref="A12:B12">
    <cfRule type="expression" dxfId="5" priority="1">
      <formula>AF1&gt;1</formula>
    </cfRule>
  </conditionalFormatting>
  <conditionalFormatting sqref="M11">
    <cfRule type="cellIs" dxfId="4" priority="6" operator="greaterThan">
      <formula>100</formula>
    </cfRule>
    <cfRule type="cellIs" dxfId="3" priority="7" operator="lessThan">
      <formula>39</formula>
    </cfRule>
  </conditionalFormatting>
  <conditionalFormatting sqref="M14">
    <cfRule type="containsText" dxfId="2" priority="5" operator="containsText" text="Timer?">
      <formula>NOT(ISERROR(SEARCH("Timer?",M14)))</formula>
    </cfRule>
  </conditionalFormatting>
  <conditionalFormatting sqref="AA19">
    <cfRule type="cellIs" dxfId="1" priority="4" operator="lessThan">
      <formula>0.5</formula>
    </cfRule>
  </conditionalFormatting>
  <conditionalFormatting sqref="AA21">
    <cfRule type="cellIs" dxfId="0" priority="3" operator="lessThan">
      <formula>0.5</formula>
    </cfRule>
  </conditionalFormatting>
  <dataValidations count="2">
    <dataValidation type="list" allowBlank="1" showInputMessage="1" showErrorMessage="1" sqref="AA5" xr:uid="{5FBF465A-D305-4F72-B345-9238B9B3DBE9}">
      <formula1>"1,2,4"</formula1>
    </dataValidation>
    <dataValidation type="list" allowBlank="1" showInputMessage="1" showErrorMessage="1" sqref="W20" xr:uid="{D5EBA0DE-544F-4F5D-A5A6-225AB45D0751}">
      <formula1>"Perfect, High, Medium, Low"</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Option Button 1">
              <controlPr locked="0" defaultSize="0" autoFill="0" autoLine="0" autoPict="0">
                <anchor moveWithCells="1">
                  <from>
                    <xdr:col>2</xdr:col>
                    <xdr:colOff>219075</xdr:colOff>
                    <xdr:row>0</xdr:row>
                    <xdr:rowOff>9525</xdr:rowOff>
                  </from>
                  <to>
                    <xdr:col>3</xdr:col>
                    <xdr:colOff>533400</xdr:colOff>
                    <xdr:row>1</xdr:row>
                    <xdr:rowOff>28575</xdr:rowOff>
                  </to>
                </anchor>
              </controlPr>
            </control>
          </mc:Choice>
        </mc:AlternateContent>
        <mc:AlternateContent xmlns:mc="http://schemas.openxmlformats.org/markup-compatibility/2006">
          <mc:Choice Requires="x14">
            <control shapeId="7170" r:id="rId4" name="Option Button 2">
              <controlPr locked="0" defaultSize="0" autoFill="0" autoLine="0" autoPict="0">
                <anchor moveWithCells="1">
                  <from>
                    <xdr:col>2</xdr:col>
                    <xdr:colOff>190500</xdr:colOff>
                    <xdr:row>11</xdr:row>
                    <xdr:rowOff>9525</xdr:rowOff>
                  </from>
                  <to>
                    <xdr:col>3</xdr:col>
                    <xdr:colOff>495300</xdr:colOff>
                    <xdr:row>12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A7CA9CA75E3E4382CB294B9F15B2C4" ma:contentTypeVersion="18" ma:contentTypeDescription="Create a new document." ma:contentTypeScope="" ma:versionID="81f289e6204d9bee9ad5633ce0d56b38">
  <xsd:schema xmlns:xsd="http://www.w3.org/2001/XMLSchema" xmlns:xs="http://www.w3.org/2001/XMLSchema" xmlns:p="http://schemas.microsoft.com/office/2006/metadata/properties" xmlns:ns3="1c9c133c-2157-4b5a-8558-75027ab7c2cb" xmlns:ns4="12025a33-b41b-4065-9138-9d743c5eca4f" targetNamespace="http://schemas.microsoft.com/office/2006/metadata/properties" ma:root="true" ma:fieldsID="6a6b6b1658ef8937a1074138d5b9f564" ns3:_="" ns4:_="">
    <xsd:import namespace="1c9c133c-2157-4b5a-8558-75027ab7c2cb"/>
    <xsd:import namespace="12025a33-b41b-4065-9138-9d743c5eca4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c133c-2157-4b5a-8558-75027ab7c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025a33-b41b-4065-9138-9d743c5eca4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c9c133c-2157-4b5a-8558-75027ab7c2cb" xsi:nil="true"/>
  </documentManagement>
</p:properties>
</file>

<file path=customXml/itemProps1.xml><?xml version="1.0" encoding="utf-8"?>
<ds:datastoreItem xmlns:ds="http://schemas.openxmlformats.org/officeDocument/2006/customXml" ds:itemID="{B36E16C4-C7B0-47DF-83BC-802EED299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c133c-2157-4b5a-8558-75027ab7c2cb"/>
    <ds:schemaRef ds:uri="12025a33-b41b-4065-9138-9d743c5ec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A791E7-7AA9-4B07-A92F-4337F525CE73}">
  <ds:schemaRefs>
    <ds:schemaRef ds:uri="http://schemas.microsoft.com/sharepoint/v3/contenttype/forms"/>
  </ds:schemaRefs>
</ds:datastoreItem>
</file>

<file path=customXml/itemProps3.xml><?xml version="1.0" encoding="utf-8"?>
<ds:datastoreItem xmlns:ds="http://schemas.openxmlformats.org/officeDocument/2006/customXml" ds:itemID="{9430CBC7-4CC7-4273-AB5F-060846F41DE5}">
  <ds:schemaRefs>
    <ds:schemaRef ds:uri="http://www.w3.org/XML/1998/namespace"/>
    <ds:schemaRef ds:uri="http://schemas.microsoft.com/office/2006/metadata/properties"/>
    <ds:schemaRef ds:uri="1c9c133c-2157-4b5a-8558-75027ab7c2cb"/>
    <ds:schemaRef ds:uri="http://purl.org/dc/dcmitype/"/>
    <ds:schemaRef ds:uri="http://schemas.microsoft.com/office/2006/documentManagement/types"/>
    <ds:schemaRef ds:uri="http://schemas.openxmlformats.org/package/2006/metadata/core-properties"/>
    <ds:schemaRef ds:uri="http://purl.org/dc/terms/"/>
    <ds:schemaRef ds:uri="12025a33-b41b-4065-9138-9d743c5eca4f"/>
    <ds:schemaRef ds:uri="http://schemas.microsoft.com/office/infopath/2007/PartnerControls"/>
    <ds:schemaRef ds:uri="http://purl.org/dc/elements/1.1/"/>
  </ds:schemaRefs>
</ds:datastoreItem>
</file>

<file path=docMetadata/LabelInfo.xml><?xml version="1.0" encoding="utf-8"?>
<clbl:labelList xmlns:clbl="http://schemas.microsoft.com/office/2020/mipLabelMetadata">
  <clbl:label id="{cee79107-9099-4b15-b44a-c6a7311443a3}" enabled="0" method="" siteId="{cee79107-9099-4b15-b44a-c6a7311443a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Minimum Ventilation CFMs</vt:lpstr>
      <vt:lpstr>Fan Power Setting</vt:lpstr>
      <vt:lpstr>Inlet Opening Variable</vt:lpstr>
      <vt:lpstr>Inlet Opening Timer</vt:lpstr>
      <vt:lpstr>Consolidated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Chock Booher</dc:creator>
  <cp:lastModifiedBy>Chock Booher</cp:lastModifiedBy>
  <dcterms:created xsi:type="dcterms:W3CDTF">2024-11-11T17:51:10Z</dcterms:created>
  <dcterms:modified xsi:type="dcterms:W3CDTF">2025-03-04T22:56:04Z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0x01010017A7CA9CA75E3E4382CB294B9F15B2C4</vt:lpwstr>
  </property>
</Properties>
</file>