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nsplc-my.sharepoint.com/personal/anton_roschupkin_genusplc_com/Documents/Documents/Мои документы PIC/Кормление/Инструменты/Калькуляторы 2021/"/>
    </mc:Choice>
  </mc:AlternateContent>
  <xr:revisionPtr revIDLastSave="71" documentId="13_ncr:1_{8D51450D-C1E1-4390-BE34-69827D906644}" xr6:coauthVersionLast="47" xr6:coauthVersionMax="47" xr10:uidLastSave="{F25E86D3-605C-4CB0-84DA-6B34D1D5797F}"/>
  <workbookProtection workbookAlgorithmName="SHA-512" workbookHashValue="5wQYtDKIdl+iUN8x6sz7ZmD7fqVC7T69FRbIKdO2s6W3qeAju3HfuTjx+AzfkiCWHkdDAuVCn7L20ITNhyK8kw==" workbookSaltValue="+nF4F1o3BAtonQVbEXvaVQ==" workbookSpinCount="100000" lockStructure="1"/>
  <bookViews>
    <workbookView xWindow="-120" yWindow="-120" windowWidth="20730" windowHeight="11760" tabRatio="693" firstSheet="3" activeTab="3" xr2:uid="{4B15C7FF-D19A-446D-BB89-37C5DD26D89F}"/>
  </bookViews>
  <sheets>
    <sheet name="Nursery" sheetId="33" state="hidden" r:id="rId1"/>
    <sheet name="800-Adj" sheetId="34" state="hidden" r:id="rId2"/>
    <sheet name="800" sheetId="13" state="hidden" r:id="rId3"/>
    <sheet name="Инструкция" sheetId="49" r:id="rId4"/>
    <sheet name="Кормовой бюджет" sheetId="26" r:id="rId5"/>
    <sheet name="Graphs" sheetId="41" state="hidden" r:id="rId6"/>
    <sheet name="Table Mixed Gender" sheetId="46" state="hidden" r:id="rId7"/>
    <sheet name="Table Barrows" sheetId="47" state="hidden" r:id="rId8"/>
    <sheet name="Table Gilts" sheetId="48" state="hidden" r:id="rId9"/>
    <sheet name="Table" sheetId="42" state="hidden" r:id="rId10"/>
    <sheet name="Curve-Mixed" sheetId="8" state="hidden" r:id="rId11"/>
    <sheet name="Curve-Gilts" sheetId="25" state="hidden" r:id="rId12"/>
    <sheet name="Curve-Barrows" sheetId="17" state="hidden" r:id="rId13"/>
    <sheet name="I-Mixed" sheetId="4" state="hidden" r:id="rId14"/>
    <sheet name="I-Barrows" sheetId="14" state="hidden" r:id="rId15"/>
    <sheet name="I-Gilts" sheetId="22" state="hidden" r:id="rId16"/>
    <sheet name="Adj-Mixed" sheetId="7" state="hidden" r:id="rId17"/>
    <sheet name="Adj-Barrows" sheetId="15" state="hidden" r:id="rId18"/>
    <sheet name="Adj-Gilts" sheetId="23" state="hidden" r:id="rId19"/>
    <sheet name="E-Mixed" sheetId="2" state="hidden" r:id="rId20"/>
    <sheet name="E-Barrows" sheetId="16" state="hidden" r:id="rId21"/>
    <sheet name="E-Gilts" sheetId="24" state="hidden" r:id="rId22"/>
    <sheet name="Weight" sheetId="28" state="hidden" r:id="rId23"/>
    <sheet name="ADFI" sheetId="29" state="hidden" r:id="rId24"/>
    <sheet name="ADG" sheetId="27" state="hidden" r:id="rId25"/>
    <sheet name="FG" sheetId="37" state="hidden" r:id="rId26"/>
  </sheets>
  <externalReferences>
    <externalReference r:id="rId27"/>
  </externalReferences>
  <definedNames>
    <definedName name="BarrowsADFI" localSheetId="3">OFFSET('[1]E-Barrows'!$M$4,,,COUNT('[1]E-Barrows'!$M$4:$M$185),)</definedName>
    <definedName name="BarrowsADFI">OFFSET('E-Barrows'!$M$4,,,COUNT('E-Barrows'!$M$4:$M$185),)</definedName>
    <definedName name="BarrowsADFI2" localSheetId="3">OFFSET('[1]Curve-Barrows'!$M$4,,,COUNT('[1]Curve-Barrows'!$M$4:$M$185),)</definedName>
    <definedName name="BarrowsADFI2">OFFSET('Curve-Barrows'!$M$4,,,COUNT('Curve-Barrows'!$M$4:$M$185),)</definedName>
    <definedName name="BarrowsADFI2lb" localSheetId="3">OFFSET('[1]Curve-Barrows'!$Q$4,,,COUNT('[1]Curve-Barrows'!$Q$4:$Q$185),)</definedName>
    <definedName name="BarrowsADFI2lb">OFFSET('Curve-Barrows'!$Q$4,,,COUNT('Curve-Barrows'!$Q$4:$Q$185),)</definedName>
    <definedName name="BarrowsADG" localSheetId="3">OFFSET('[1]E-Barrows'!$J$4,,,COUNT('[1]E-Barrows'!$J$4:$J$185),)</definedName>
    <definedName name="BarrowsADG">OFFSET('E-Barrows'!$J$4,,,COUNT('E-Barrows'!$J$4:$J$185),)</definedName>
    <definedName name="BarrowsADG2" localSheetId="3">OFFSET('[1]Curve-Barrows'!$J$4,,,COUNT('[1]Curve-Barrows'!$J$4:$J$185),)</definedName>
    <definedName name="BarrowsADG2">OFFSET('Curve-Barrows'!$J$4,,,COUNT('Curve-Barrows'!$J$4:$J$185),)</definedName>
    <definedName name="BarrowsADG2lb" localSheetId="3">OFFSET('[1]Curve-Barrows'!$P$4,,,COUNT('[1]Curve-Barrows'!$P$4:$P$185),)</definedName>
    <definedName name="BarrowsADG2lb">OFFSET('Curve-Barrows'!$P$4,,,COUNT('Curve-Barrows'!$P$4:$P$185),)</definedName>
    <definedName name="BarrowsAge" localSheetId="3">OFFSET('[1]E-Barrows'!$A$3,,,COUNT('[1]E-Barrows'!$A$3:$A$185),)</definedName>
    <definedName name="BarrowsAge">OFFSET('E-Barrows'!$A$3,,,COUNT('E-Barrows'!$A$3:$A$185),)</definedName>
    <definedName name="BarrowsAge2" localSheetId="3">OFFSET('[1]Curve-Barrows'!$I$3,,,COUNT('[1]Curve-Barrows'!$I$3:$I$185),)</definedName>
    <definedName name="BarrowsAge2">OFFSET('Curve-Barrows'!$I$3,,,COUNT('Curve-Barrows'!$I$3:$I$185),)</definedName>
    <definedName name="BarrowsBW" localSheetId="3">OFFSET('[1]E-Barrows'!$I$3,,,COUNT('[1]E-Barrows'!$I$3:$I$185),)</definedName>
    <definedName name="BarrowsBW">OFFSET('E-Barrows'!$I$3,,,COUNT('E-Barrows'!$I$3:$I$185),)</definedName>
    <definedName name="BarrowsBW2" localSheetId="3">OFFSET('[1]Curve-Barrows'!$H$3,,,COUNT('[1]Curve-Barrows'!$H$3:$H$185),)</definedName>
    <definedName name="BarrowsBW2">OFFSET('Curve-Barrows'!$H$3,,,COUNT('Curve-Barrows'!$H$3:$H$185),)</definedName>
    <definedName name="BarrowsBW2lb" localSheetId="3">OFFSET('[1]Curve-Barrows'!$R$3,,,COUNT('[1]Curve-Barrows'!$R$3:$R$185),)</definedName>
    <definedName name="BarrowsBW2lb">OFFSET('Curve-Barrows'!$R$3,,,COUNT('Curve-Barrows'!$R$3:$R$185),)</definedName>
    <definedName name="BarrowsFG" localSheetId="3">OFFSET('[1]E-Barrows'!$L$4,,,COUNT('[1]E-Barrows'!$L$4:$L$185),)</definedName>
    <definedName name="BarrowsFG">OFFSET('E-Barrows'!$L$4,,,COUNT('E-Barrows'!$L$4:$L$185),)</definedName>
    <definedName name="BarrowsFG2" localSheetId="3">OFFSET('[1]Curve-Barrows'!$N$4,,,COUNT('[1]Curve-Barrows'!$N$4:$N$185),)</definedName>
    <definedName name="BarrowsFG2">OFFSET('Curve-Barrows'!$N$4,,,COUNT('Curve-Barrows'!$N$4:$N$185),)</definedName>
    <definedName name="GiltsADFI" localSheetId="3">OFFSET('[1]E-Gilts'!$M$4,,,COUNT('[1]E-Gilts'!$M$4:$M$185),)</definedName>
    <definedName name="GiltsADFI">OFFSET('E-Gilts'!$M$4,,,COUNT('E-Gilts'!$M$4:$M$185),)</definedName>
    <definedName name="GiltsADFI2" localSheetId="3">OFFSET('[1]Curve-Gilts'!$M$4,,,COUNT('[1]Curve-Gilts'!$M$4:$M$185),)</definedName>
    <definedName name="GiltsADFI2">OFFSET('Curve-Gilts'!$M$4,,,COUNT('Curve-Gilts'!$M$4:$M$185),)</definedName>
    <definedName name="GiltsADFI2lb" localSheetId="3">OFFSET('[1]Curve-Gilts'!$Q$4,,,COUNT('[1]Curve-Gilts'!$Q$4:$Q$185),)</definedName>
    <definedName name="GiltsADFI2lb">OFFSET('Curve-Gilts'!$Q$4,,,COUNT('Curve-Gilts'!$Q$4:$Q$185),)</definedName>
    <definedName name="GiltsADG" localSheetId="3">OFFSET('[1]E-Gilts'!$J$4,,,COUNT('[1]E-Gilts'!$J$4:$J$185),)</definedName>
    <definedName name="GiltsADG">OFFSET('E-Gilts'!$J$4,,,COUNT('E-Gilts'!$J$4:$J$185),)</definedName>
    <definedName name="GiltsADG2" localSheetId="3">OFFSET('[1]Curve-Gilts'!$J$4,,,COUNT('[1]Curve-Gilts'!$J$4:$J$185),)</definedName>
    <definedName name="GiltsADG2">OFFSET('Curve-Gilts'!$J$4,,,COUNT('Curve-Gilts'!$J$4:$J$185),)</definedName>
    <definedName name="GiltsADG2lb" localSheetId="3">OFFSET('[1]Curve-Gilts'!$P$4,,,COUNT('[1]Curve-Gilts'!$P$4:$P$185),)</definedName>
    <definedName name="GiltsADG2lb">OFFSET('Curve-Gilts'!$P$4,,,COUNT('Curve-Gilts'!$P$4:$P$185),)</definedName>
    <definedName name="GiltsAge" localSheetId="3">OFFSET('[1]E-Gilts'!$A$3,,,COUNT('[1]E-Gilts'!$A$3:$A$185),)</definedName>
    <definedName name="GiltsAge">OFFSET('E-Gilts'!$A$3,,,COUNT('E-Gilts'!$A$3:$A$185),)</definedName>
    <definedName name="GiltsAge2" localSheetId="3">OFFSET('[1]Curve-Gilts'!$I$3,,,COUNT('[1]Curve-Gilts'!$I$3:$I$185),)</definedName>
    <definedName name="GiltsAge2">OFFSET('Curve-Gilts'!$I$3,,,COUNT('Curve-Gilts'!$I$3:$I$185),)</definedName>
    <definedName name="GiltsBW" localSheetId="3">OFFSET('[1]E-Gilts'!$I$3,,,COUNT('[1]E-Gilts'!$I$3:$I$185),)</definedName>
    <definedName name="GiltsBW">OFFSET('E-Gilts'!$I$3,,,COUNT('E-Gilts'!$I$3:$I$185),)</definedName>
    <definedName name="GiltsBW2" localSheetId="3">OFFSET('[1]Curve-Gilts'!$H$3,,,COUNT('[1]Curve-Gilts'!$H$3:$H$185),)</definedName>
    <definedName name="GiltsBW2">OFFSET('Curve-Gilts'!$H$3,,,COUNT('Curve-Gilts'!$H$3:$H$185),)</definedName>
    <definedName name="GiltsBW2lb" localSheetId="3">OFFSET('[1]Curve-Gilts'!$R$3,,,COUNT('[1]Curve-Gilts'!$R$3:$R$185),)</definedName>
    <definedName name="GiltsBW2lb">OFFSET('Curve-Gilts'!$R$3,,,COUNT('Curve-Gilts'!$R$3:$R$185),)</definedName>
    <definedName name="GiltsFG" localSheetId="3">OFFSET('[1]E-Gilts'!$L$4,,,COUNT('[1]E-Gilts'!$L$4:$L$185),)</definedName>
    <definedName name="GiltsFG">OFFSET('E-Gilts'!$L$4,,,COUNT('E-Gilts'!$L$4:$L$185),)</definedName>
    <definedName name="GiltsFG2" localSheetId="3">OFFSET('[1]Curve-Gilts'!$N$4,,,COUNT('[1]Curve-Gilts'!$N$4:$N$185),)</definedName>
    <definedName name="GiltsFG2">OFFSET('Curve-Gilts'!$N$4,,,COUNT('Curve-Gilts'!$N$4:$N$185),)</definedName>
    <definedName name="MixedADFI" localSheetId="3">OFFSET('[1]E-Mixed'!$M$4,,,COUNT('[1]E-Mixed'!$M$4:$M$185),)</definedName>
    <definedName name="MixedADFI">OFFSET('E-Mixed'!$M$4,,,COUNT('E-Mixed'!$M$4:$M$185),)</definedName>
    <definedName name="MixedADFI2" localSheetId="3">OFFSET('[1]Curve-Mixed'!$M$4,,,COUNT('[1]Curve-Mixed'!$M$4:$M$185),)</definedName>
    <definedName name="MixedADFI2">OFFSET('Curve-Mixed'!$M$4,,,COUNT('Curve-Mixed'!$M$4:$M$185),)</definedName>
    <definedName name="MixedADFI2lb" localSheetId="3">OFFSET('[1]Curve-Mixed'!$Q$4,,,COUNT('[1]Curve-Mixed'!$Q$4:$Q$185),)</definedName>
    <definedName name="MixedADFI2lb">OFFSET('Curve-Mixed'!$Q$4,,,COUNT('Curve-Mixed'!$Q$4:$Q$185),)</definedName>
    <definedName name="MixedADG" localSheetId="3">OFFSET('[1]E-Mixed'!$J$4,,,COUNT('[1]E-Mixed'!$J$4:$J$185),)</definedName>
    <definedName name="MixedADG">OFFSET('E-Mixed'!$J$4,,,COUNT('E-Mixed'!$J$4:$J$185),)</definedName>
    <definedName name="MixedADG2" localSheetId="3">OFFSET('[1]Curve-Mixed'!$J$4,,,COUNT('[1]Curve-Mixed'!$J$4:$J$185),)</definedName>
    <definedName name="MixedADG2">OFFSET('Curve-Mixed'!$J$4,,,COUNT('Curve-Mixed'!$J$4:$J$185),)</definedName>
    <definedName name="MixedADG2lb" localSheetId="3">OFFSET('[1]Curve-Mixed'!$P$4,,,COUNT('[1]Curve-Mixed'!$P$4:$P$185),)</definedName>
    <definedName name="MixedADG2lb">OFFSET('Curve-Mixed'!$P$4,,,COUNT('Curve-Mixed'!$P$4:$P$185),)</definedName>
    <definedName name="MixedAge" localSheetId="3">OFFSET('[1]E-Mixed'!$A$3,,,COUNT('[1]E-Mixed'!$A$3:$A$185),)</definedName>
    <definedName name="MixedAge">OFFSET('E-Mixed'!$A$3,,,COUNT('E-Mixed'!$A$3:$A$185),)</definedName>
    <definedName name="MixedAge2" localSheetId="3">OFFSET('[1]Curve-Mixed'!$I$3,,,COUNT('[1]Curve-Mixed'!$I$3:$I$185),)</definedName>
    <definedName name="MixedAge2">OFFSET('Curve-Mixed'!$I$3,,,COUNT('Curve-Mixed'!$I$3:$I$185),)</definedName>
    <definedName name="MixedBW" localSheetId="3">OFFSET('[1]E-Mixed'!$I$3,,,COUNT('[1]E-Mixed'!$I$3:$I$185),)</definedName>
    <definedName name="MixedBW">OFFSET('E-Mixed'!$I$3,,,COUNT('E-Mixed'!$I$3:$I$185),)</definedName>
    <definedName name="MixedBW2" localSheetId="3">OFFSET('[1]Curve-Mixed'!$H$3,,,COUNT('[1]Curve-Mixed'!$H$3:$H$185),)</definedName>
    <definedName name="MixedBW2">OFFSET('Curve-Mixed'!$H$3,,,COUNT('Curve-Mixed'!$H$3:$H$185),)</definedName>
    <definedName name="MixedBW2lb" localSheetId="3">OFFSET('[1]Curve-Mixed'!$R$3,,,COUNT('[1]Curve-Mixed'!$R$3:$R$185),)</definedName>
    <definedName name="MixedBW2lb">OFFSET('Curve-Mixed'!$R$3,,,COUNT('Curve-Mixed'!$R$3:$R$185),)</definedName>
    <definedName name="MixedFG" localSheetId="3">OFFSET('[1]E-Mixed'!$L$4,,,COUNT('[1]E-Mixed'!$L$4:$L$185),)</definedName>
    <definedName name="MixedFG">OFFSET('E-Mixed'!$L$4,,,COUNT('E-Mixed'!$L$4:$L$185),)</definedName>
    <definedName name="MixedFG2" localSheetId="3">OFFSET('[1]Curve-Mixed'!$N$4,,,COUNT('[1]Curve-Mixed'!$N$4:$N$185),)</definedName>
    <definedName name="MixedFG2">OFFSET('Curve-Mixed'!$N$4,,,COUNT('Curve-Mixed'!$N$4:$N$185),)</definedName>
    <definedName name="solver_adj" localSheetId="3" hidden="1">Инструкция!#REF!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Инструкция!#REF!</definedName>
    <definedName name="solver_lhs2" localSheetId="3" hidden="1">Инструкция!#REF!</definedName>
    <definedName name="solver_lin" localSheetId="3" hidden="1">2</definedName>
    <definedName name="solver_neg" localSheetId="3" hidden="1">2</definedName>
    <definedName name="solver_num" localSheetId="3" hidden="1">2</definedName>
    <definedName name="solver_nwt" localSheetId="3" hidden="1">1</definedName>
    <definedName name="solver_opt" localSheetId="3" hidden="1">Инструкция!#REF!</definedName>
    <definedName name="solver_pre" localSheetId="3" hidden="1">0.000001</definedName>
    <definedName name="solver_rel1" localSheetId="3" hidden="1">2</definedName>
    <definedName name="solver_rel2" localSheetId="3" hidden="1">2</definedName>
    <definedName name="solver_rhs1" localSheetId="3" hidden="1">0</definedName>
    <definedName name="solver_rhs2" localSheetId="3" hidden="1">0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2</definedName>
    <definedName name="solver_val" localSheetId="3" hidden="1">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6" l="1"/>
  <c r="G28" i="26"/>
  <c r="H28" i="26"/>
  <c r="I28" i="26"/>
  <c r="J28" i="26"/>
  <c r="U49" i="13" l="1"/>
  <c r="U50" i="13"/>
  <c r="U51" i="13"/>
  <c r="U52" i="13"/>
  <c r="U53" i="13"/>
  <c r="U54" i="13"/>
  <c r="U55" i="13"/>
  <c r="U56" i="13"/>
  <c r="U57" i="13"/>
  <c r="U58" i="13"/>
  <c r="U59" i="13"/>
  <c r="U60" i="13"/>
  <c r="U61" i="13"/>
  <c r="U62" i="13"/>
  <c r="U63" i="13"/>
  <c r="U64" i="13"/>
  <c r="U65" i="13"/>
  <c r="U66" i="13"/>
  <c r="U67" i="13"/>
  <c r="U68" i="13"/>
  <c r="U69" i="13"/>
  <c r="U70" i="13"/>
  <c r="U71" i="13"/>
  <c r="U72" i="13"/>
  <c r="X73" i="13" s="1"/>
  <c r="U73" i="13"/>
  <c r="U74" i="13"/>
  <c r="U75" i="13"/>
  <c r="X76" i="13" s="1"/>
  <c r="U76" i="13"/>
  <c r="X77" i="13" s="1"/>
  <c r="U77" i="13"/>
  <c r="U78" i="13"/>
  <c r="U79" i="13"/>
  <c r="X80" i="13" s="1"/>
  <c r="U80" i="13"/>
  <c r="X81" i="13" s="1"/>
  <c r="U81" i="13"/>
  <c r="U82" i="13"/>
  <c r="U83" i="13"/>
  <c r="X84" i="13" s="1"/>
  <c r="U84" i="13"/>
  <c r="X85" i="13" s="1"/>
  <c r="U85" i="13"/>
  <c r="U86" i="13"/>
  <c r="U87" i="13"/>
  <c r="X88" i="13" s="1"/>
  <c r="U88" i="13"/>
  <c r="X89" i="13" s="1"/>
  <c r="U89" i="13"/>
  <c r="U90" i="13"/>
  <c r="U91" i="13"/>
  <c r="X92" i="13" s="1"/>
  <c r="U92" i="13"/>
  <c r="X93" i="13" s="1"/>
  <c r="U93" i="13"/>
  <c r="U94" i="13"/>
  <c r="U95" i="13"/>
  <c r="X96" i="13" s="1"/>
  <c r="U96" i="13"/>
  <c r="X97" i="13" s="1"/>
  <c r="U97" i="13"/>
  <c r="U98" i="13"/>
  <c r="U99" i="13"/>
  <c r="X100" i="13" s="1"/>
  <c r="U100" i="13"/>
  <c r="X101" i="13" s="1"/>
  <c r="U101" i="13"/>
  <c r="U102" i="13"/>
  <c r="U103" i="13"/>
  <c r="X104" i="13" s="1"/>
  <c r="U104" i="13"/>
  <c r="X105" i="13" s="1"/>
  <c r="U105" i="13"/>
  <c r="U106" i="13"/>
  <c r="U107" i="13"/>
  <c r="X108" i="13" s="1"/>
  <c r="U108" i="13"/>
  <c r="X109" i="13" s="1"/>
  <c r="U109" i="13"/>
  <c r="U110" i="13"/>
  <c r="U111" i="13"/>
  <c r="X112" i="13" s="1"/>
  <c r="U112" i="13"/>
  <c r="X113" i="13" s="1"/>
  <c r="U113" i="13"/>
  <c r="U114" i="13"/>
  <c r="U115" i="13"/>
  <c r="X116" i="13" s="1"/>
  <c r="U116" i="13"/>
  <c r="X117" i="13" s="1"/>
  <c r="U117" i="13"/>
  <c r="U118" i="13"/>
  <c r="U119" i="13"/>
  <c r="X120" i="13" s="1"/>
  <c r="U120" i="13"/>
  <c r="X121" i="13" s="1"/>
  <c r="U121" i="13"/>
  <c r="U122" i="13"/>
  <c r="U123" i="13"/>
  <c r="X124" i="13" s="1"/>
  <c r="U124" i="13"/>
  <c r="X125" i="13" s="1"/>
  <c r="U125" i="13"/>
  <c r="U126" i="13"/>
  <c r="U127" i="13"/>
  <c r="X128" i="13" s="1"/>
  <c r="U128" i="13"/>
  <c r="X129" i="13" s="1"/>
  <c r="U129" i="13"/>
  <c r="U130" i="13"/>
  <c r="U131" i="13"/>
  <c r="X132" i="13" s="1"/>
  <c r="U132" i="13"/>
  <c r="X133" i="13" s="1"/>
  <c r="U133" i="13"/>
  <c r="U134" i="13"/>
  <c r="U135" i="13"/>
  <c r="X136" i="13" s="1"/>
  <c r="U136" i="13"/>
  <c r="X137" i="13" s="1"/>
  <c r="U137" i="13"/>
  <c r="U138" i="13"/>
  <c r="U139" i="13"/>
  <c r="X140" i="13" s="1"/>
  <c r="U140" i="13"/>
  <c r="X141" i="13" s="1"/>
  <c r="U141" i="13"/>
  <c r="U142" i="13"/>
  <c r="U143" i="13"/>
  <c r="X144" i="13" s="1"/>
  <c r="U144" i="13"/>
  <c r="X145" i="13" s="1"/>
  <c r="U145" i="13"/>
  <c r="U146" i="13"/>
  <c r="U147" i="13"/>
  <c r="X148" i="13" s="1"/>
  <c r="U148" i="13"/>
  <c r="X149" i="13" s="1"/>
  <c r="U149" i="13"/>
  <c r="U150" i="13"/>
  <c r="U151" i="13"/>
  <c r="X152" i="13" s="1"/>
  <c r="U152" i="13"/>
  <c r="X153" i="13" s="1"/>
  <c r="U153" i="13"/>
  <c r="U154" i="13"/>
  <c r="U155" i="13"/>
  <c r="X156" i="13" s="1"/>
  <c r="U156" i="13"/>
  <c r="X157" i="13" s="1"/>
  <c r="U157" i="13"/>
  <c r="U158" i="13"/>
  <c r="U159" i="13"/>
  <c r="X160" i="13" s="1"/>
  <c r="U160" i="13"/>
  <c r="X161" i="13" s="1"/>
  <c r="U161" i="13"/>
  <c r="U162" i="13"/>
  <c r="U163" i="13"/>
  <c r="X164" i="13" s="1"/>
  <c r="U164" i="13"/>
  <c r="X165" i="13" s="1"/>
  <c r="U165" i="13"/>
  <c r="U166" i="13"/>
  <c r="U167" i="13"/>
  <c r="X168" i="13" s="1"/>
  <c r="U168" i="13"/>
  <c r="X169" i="13" s="1"/>
  <c r="U169" i="13"/>
  <c r="U170" i="13"/>
  <c r="U171" i="13"/>
  <c r="X172" i="13" s="1"/>
  <c r="U172" i="13"/>
  <c r="X173" i="13" s="1"/>
  <c r="U173" i="13"/>
  <c r="U174" i="13"/>
  <c r="U175" i="13"/>
  <c r="X176" i="13" s="1"/>
  <c r="U176" i="13"/>
  <c r="X177" i="13" s="1"/>
  <c r="U177" i="13"/>
  <c r="U178" i="13"/>
  <c r="U179" i="13"/>
  <c r="X180" i="13" s="1"/>
  <c r="U180" i="13"/>
  <c r="X181" i="13" s="1"/>
  <c r="U181" i="13"/>
  <c r="U182" i="13"/>
  <c r="U183" i="13"/>
  <c r="X184" i="13" s="1"/>
  <c r="U184" i="13"/>
  <c r="X185" i="13" s="1"/>
  <c r="U185" i="13"/>
  <c r="U186" i="13"/>
  <c r="U187" i="13"/>
  <c r="X188" i="13" s="1"/>
  <c r="U188" i="13"/>
  <c r="T49" i="13"/>
  <c r="T50" i="13"/>
  <c r="T51" i="13"/>
  <c r="T52" i="13"/>
  <c r="T53" i="13"/>
  <c r="T54" i="13"/>
  <c r="T55" i="13"/>
  <c r="T56" i="13"/>
  <c r="T57" i="13"/>
  <c r="T58" i="13"/>
  <c r="T59" i="13"/>
  <c r="T60" i="13"/>
  <c r="T61" i="13"/>
  <c r="T62" i="13"/>
  <c r="T63" i="13"/>
  <c r="T64" i="13"/>
  <c r="T65" i="13"/>
  <c r="T66" i="13"/>
  <c r="T67" i="13"/>
  <c r="T68" i="13"/>
  <c r="T69" i="13"/>
  <c r="T70" i="13"/>
  <c r="T71" i="13"/>
  <c r="T72" i="13"/>
  <c r="W73" i="13" s="1"/>
  <c r="T73" i="13"/>
  <c r="T74" i="13"/>
  <c r="T75" i="13"/>
  <c r="T76" i="13"/>
  <c r="W77" i="13" s="1"/>
  <c r="T77" i="13"/>
  <c r="T78" i="13"/>
  <c r="T79" i="13"/>
  <c r="T80" i="13"/>
  <c r="W81" i="13" s="1"/>
  <c r="T81" i="13"/>
  <c r="T82" i="13"/>
  <c r="T83" i="13"/>
  <c r="T84" i="13"/>
  <c r="W85" i="13" s="1"/>
  <c r="T85" i="13"/>
  <c r="T86" i="13"/>
  <c r="T87" i="13"/>
  <c r="T88" i="13"/>
  <c r="W89" i="13" s="1"/>
  <c r="T89" i="13"/>
  <c r="T90" i="13"/>
  <c r="T91" i="13"/>
  <c r="T92" i="13"/>
  <c r="W93" i="13" s="1"/>
  <c r="T93" i="13"/>
  <c r="T94" i="13"/>
  <c r="T95" i="13"/>
  <c r="T96" i="13"/>
  <c r="W97" i="13" s="1"/>
  <c r="T97" i="13"/>
  <c r="T98" i="13"/>
  <c r="T99" i="13"/>
  <c r="T100" i="13"/>
  <c r="W101" i="13" s="1"/>
  <c r="T101" i="13"/>
  <c r="T102" i="13"/>
  <c r="T103" i="13"/>
  <c r="T104" i="13"/>
  <c r="W105" i="13" s="1"/>
  <c r="T105" i="13"/>
  <c r="T106" i="13"/>
  <c r="T107" i="13"/>
  <c r="T108" i="13"/>
  <c r="W109" i="13" s="1"/>
  <c r="T109" i="13"/>
  <c r="T110" i="13"/>
  <c r="T111" i="13"/>
  <c r="T112" i="13"/>
  <c r="W113" i="13" s="1"/>
  <c r="T113" i="13"/>
  <c r="T114" i="13"/>
  <c r="T115" i="13"/>
  <c r="T116" i="13"/>
  <c r="W117" i="13" s="1"/>
  <c r="T117" i="13"/>
  <c r="T118" i="13"/>
  <c r="T119" i="13"/>
  <c r="T120" i="13"/>
  <c r="W121" i="13" s="1"/>
  <c r="T121" i="13"/>
  <c r="T122" i="13"/>
  <c r="T123" i="13"/>
  <c r="T124" i="13"/>
  <c r="W125" i="13" s="1"/>
  <c r="T125" i="13"/>
  <c r="T126" i="13"/>
  <c r="T127" i="13"/>
  <c r="T128" i="13"/>
  <c r="W129" i="13" s="1"/>
  <c r="T129" i="13"/>
  <c r="T130" i="13"/>
  <c r="T131" i="13"/>
  <c r="T132" i="13"/>
  <c r="W133" i="13" s="1"/>
  <c r="T133" i="13"/>
  <c r="T134" i="13"/>
  <c r="T135" i="13"/>
  <c r="T136" i="13"/>
  <c r="W137" i="13" s="1"/>
  <c r="T137" i="13"/>
  <c r="T138" i="13"/>
  <c r="T139" i="13"/>
  <c r="T140" i="13"/>
  <c r="W141" i="13" s="1"/>
  <c r="T141" i="13"/>
  <c r="T142" i="13"/>
  <c r="T143" i="13"/>
  <c r="T144" i="13"/>
  <c r="W145" i="13" s="1"/>
  <c r="T145" i="13"/>
  <c r="T146" i="13"/>
  <c r="T147" i="13"/>
  <c r="T148" i="13"/>
  <c r="W149" i="13" s="1"/>
  <c r="T149" i="13"/>
  <c r="T150" i="13"/>
  <c r="T151" i="13"/>
  <c r="T152" i="13"/>
  <c r="W153" i="13" s="1"/>
  <c r="T153" i="13"/>
  <c r="T154" i="13"/>
  <c r="T155" i="13"/>
  <c r="T156" i="13"/>
  <c r="W157" i="13" s="1"/>
  <c r="T157" i="13"/>
  <c r="T158" i="13"/>
  <c r="T159" i="13"/>
  <c r="T160" i="13"/>
  <c r="W161" i="13" s="1"/>
  <c r="T161" i="13"/>
  <c r="T162" i="13"/>
  <c r="T163" i="13"/>
  <c r="T164" i="13"/>
  <c r="W165" i="13" s="1"/>
  <c r="T165" i="13"/>
  <c r="T166" i="13"/>
  <c r="T167" i="13"/>
  <c r="T168" i="13"/>
  <c r="W169" i="13" s="1"/>
  <c r="T169" i="13"/>
  <c r="T170" i="13"/>
  <c r="T171" i="13"/>
  <c r="T172" i="13"/>
  <c r="W173" i="13" s="1"/>
  <c r="T173" i="13"/>
  <c r="T174" i="13"/>
  <c r="T175" i="13"/>
  <c r="T176" i="13"/>
  <c r="W177" i="13" s="1"/>
  <c r="T177" i="13"/>
  <c r="T178" i="13"/>
  <c r="T179" i="13"/>
  <c r="T180" i="13"/>
  <c r="W181" i="13" s="1"/>
  <c r="T181" i="13"/>
  <c r="T182" i="13"/>
  <c r="T183" i="13"/>
  <c r="T184" i="13"/>
  <c r="W185" i="13" s="1"/>
  <c r="T185" i="13"/>
  <c r="T186" i="13"/>
  <c r="T187" i="13"/>
  <c r="T188" i="13"/>
  <c r="U48" i="13"/>
  <c r="X74" i="13"/>
  <c r="AA74" i="13" s="1"/>
  <c r="X75" i="13"/>
  <c r="AA75" i="13" s="1"/>
  <c r="X78" i="13"/>
  <c r="X79" i="13"/>
  <c r="X82" i="13"/>
  <c r="X83" i="13"/>
  <c r="X86" i="13"/>
  <c r="X87" i="13"/>
  <c r="X90" i="13"/>
  <c r="X91" i="13"/>
  <c r="X94" i="13"/>
  <c r="X95" i="13"/>
  <c r="X98" i="13"/>
  <c r="X99" i="13"/>
  <c r="X102" i="13"/>
  <c r="X103" i="13"/>
  <c r="X106" i="13"/>
  <c r="X107" i="13"/>
  <c r="X110" i="13"/>
  <c r="X111" i="13"/>
  <c r="X114" i="13"/>
  <c r="X115" i="13"/>
  <c r="X118" i="13"/>
  <c r="X119" i="13"/>
  <c r="X122" i="13"/>
  <c r="X123" i="13"/>
  <c r="X126" i="13"/>
  <c r="X127" i="13"/>
  <c r="X130" i="13"/>
  <c r="X131" i="13"/>
  <c r="X134" i="13"/>
  <c r="X135" i="13"/>
  <c r="X138" i="13"/>
  <c r="X139" i="13"/>
  <c r="X142" i="13"/>
  <c r="X143" i="13"/>
  <c r="X146" i="13"/>
  <c r="X147" i="13"/>
  <c r="X150" i="13"/>
  <c r="X151" i="13"/>
  <c r="X154" i="13"/>
  <c r="X155" i="13"/>
  <c r="X158" i="13"/>
  <c r="X159" i="13"/>
  <c r="X162" i="13"/>
  <c r="X163" i="13"/>
  <c r="X166" i="13"/>
  <c r="X167" i="13"/>
  <c r="X170" i="13"/>
  <c r="X171" i="13"/>
  <c r="X174" i="13"/>
  <c r="X175" i="13"/>
  <c r="X178" i="13"/>
  <c r="X179" i="13"/>
  <c r="X182" i="13"/>
  <c r="X183" i="13"/>
  <c r="X186" i="13"/>
  <c r="X187" i="13"/>
  <c r="X72" i="13"/>
  <c r="AA72" i="13" s="1"/>
  <c r="W74" i="13"/>
  <c r="Z74" i="13" s="1"/>
  <c r="W75" i="13"/>
  <c r="W76" i="13"/>
  <c r="W78" i="13"/>
  <c r="W79" i="13"/>
  <c r="W80" i="13"/>
  <c r="W82" i="13"/>
  <c r="W83" i="13"/>
  <c r="W84" i="13"/>
  <c r="W86" i="13"/>
  <c r="W87" i="13"/>
  <c r="W88" i="13"/>
  <c r="W90" i="13"/>
  <c r="W91" i="13"/>
  <c r="W92" i="13"/>
  <c r="W94" i="13"/>
  <c r="W95" i="13"/>
  <c r="W96" i="13"/>
  <c r="W98" i="13"/>
  <c r="W99" i="13"/>
  <c r="W100" i="13"/>
  <c r="W102" i="13"/>
  <c r="W103" i="13"/>
  <c r="W104" i="13"/>
  <c r="W106" i="13"/>
  <c r="W107" i="13"/>
  <c r="W108" i="13"/>
  <c r="W110" i="13"/>
  <c r="W111" i="13"/>
  <c r="W112" i="13"/>
  <c r="W114" i="13"/>
  <c r="W115" i="13"/>
  <c r="W116" i="13"/>
  <c r="W118" i="13"/>
  <c r="W119" i="13"/>
  <c r="W120" i="13"/>
  <c r="W122" i="13"/>
  <c r="W123" i="13"/>
  <c r="W124" i="13"/>
  <c r="W126" i="13"/>
  <c r="W127" i="13"/>
  <c r="W128" i="13"/>
  <c r="W130" i="13"/>
  <c r="W131" i="13"/>
  <c r="W132" i="13"/>
  <c r="W134" i="13"/>
  <c r="W135" i="13"/>
  <c r="W136" i="13"/>
  <c r="W138" i="13"/>
  <c r="W139" i="13"/>
  <c r="W140" i="13"/>
  <c r="W142" i="13"/>
  <c r="W143" i="13"/>
  <c r="W144" i="13"/>
  <c r="W146" i="13"/>
  <c r="W147" i="13"/>
  <c r="W148" i="13"/>
  <c r="W150" i="13"/>
  <c r="W151" i="13"/>
  <c r="W152" i="13"/>
  <c r="W154" i="13"/>
  <c r="W155" i="13"/>
  <c r="W156" i="13"/>
  <c r="W158" i="13"/>
  <c r="W159" i="13"/>
  <c r="W160" i="13"/>
  <c r="W162" i="13"/>
  <c r="W163" i="13"/>
  <c r="W164" i="13"/>
  <c r="W166" i="13"/>
  <c r="W167" i="13"/>
  <c r="W168" i="13"/>
  <c r="W170" i="13"/>
  <c r="W171" i="13"/>
  <c r="W172" i="13"/>
  <c r="W174" i="13"/>
  <c r="W175" i="13"/>
  <c r="W176" i="13"/>
  <c r="W178" i="13"/>
  <c r="W179" i="13"/>
  <c r="W180" i="13"/>
  <c r="W182" i="13"/>
  <c r="W183" i="13"/>
  <c r="W184" i="13"/>
  <c r="W186" i="13"/>
  <c r="W187" i="13"/>
  <c r="W188" i="13"/>
  <c r="W72" i="13"/>
  <c r="Y72" i="13" s="1"/>
  <c r="T48" i="13"/>
  <c r="V48" i="13" s="1"/>
  <c r="B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F69" i="13" s="1"/>
  <c r="C69" i="13"/>
  <c r="F70" i="13" s="1"/>
  <c r="C70" i="13"/>
  <c r="F71" i="13" s="1"/>
  <c r="C71" i="13"/>
  <c r="F72" i="13" s="1"/>
  <c r="C72" i="13"/>
  <c r="F73" i="13" s="1"/>
  <c r="C73" i="13"/>
  <c r="F74" i="13" s="1"/>
  <c r="C74" i="13"/>
  <c r="F75" i="13" s="1"/>
  <c r="C75" i="13"/>
  <c r="F76" i="13" s="1"/>
  <c r="C76" i="13"/>
  <c r="F77" i="13" s="1"/>
  <c r="C77" i="13"/>
  <c r="F78" i="13" s="1"/>
  <c r="C78" i="13"/>
  <c r="F79" i="13" s="1"/>
  <c r="C79" i="13"/>
  <c r="F80" i="13" s="1"/>
  <c r="C80" i="13"/>
  <c r="F81" i="13" s="1"/>
  <c r="C81" i="13"/>
  <c r="F82" i="13" s="1"/>
  <c r="C82" i="13"/>
  <c r="F83" i="13" s="1"/>
  <c r="C83" i="13"/>
  <c r="F84" i="13" s="1"/>
  <c r="C84" i="13"/>
  <c r="F85" i="13" s="1"/>
  <c r="C85" i="13"/>
  <c r="F86" i="13" s="1"/>
  <c r="C86" i="13"/>
  <c r="F87" i="13" s="1"/>
  <c r="C87" i="13"/>
  <c r="F88" i="13" s="1"/>
  <c r="C88" i="13"/>
  <c r="F89" i="13" s="1"/>
  <c r="C89" i="13"/>
  <c r="F90" i="13" s="1"/>
  <c r="C90" i="13"/>
  <c r="F91" i="13" s="1"/>
  <c r="C91" i="13"/>
  <c r="F92" i="13" s="1"/>
  <c r="C92" i="13"/>
  <c r="F93" i="13" s="1"/>
  <c r="C93" i="13"/>
  <c r="F94" i="13" s="1"/>
  <c r="C94" i="13"/>
  <c r="F95" i="13" s="1"/>
  <c r="C95" i="13"/>
  <c r="F96" i="13" s="1"/>
  <c r="C96" i="13"/>
  <c r="F97" i="13" s="1"/>
  <c r="C97" i="13"/>
  <c r="F98" i="13" s="1"/>
  <c r="C98" i="13"/>
  <c r="F99" i="13" s="1"/>
  <c r="C99" i="13"/>
  <c r="F100" i="13" s="1"/>
  <c r="C100" i="13"/>
  <c r="F101" i="13" s="1"/>
  <c r="C101" i="13"/>
  <c r="F102" i="13" s="1"/>
  <c r="C102" i="13"/>
  <c r="F103" i="13" s="1"/>
  <c r="C103" i="13"/>
  <c r="F104" i="13" s="1"/>
  <c r="C104" i="13"/>
  <c r="F105" i="13" s="1"/>
  <c r="C105" i="13"/>
  <c r="F106" i="13" s="1"/>
  <c r="C106" i="13"/>
  <c r="F107" i="13" s="1"/>
  <c r="C107" i="13"/>
  <c r="F108" i="13" s="1"/>
  <c r="C108" i="13"/>
  <c r="F109" i="13" s="1"/>
  <c r="C109" i="13"/>
  <c r="F110" i="13" s="1"/>
  <c r="C110" i="13"/>
  <c r="F111" i="13" s="1"/>
  <c r="C111" i="13"/>
  <c r="F112" i="13" s="1"/>
  <c r="C112" i="13"/>
  <c r="F113" i="13" s="1"/>
  <c r="C113" i="13"/>
  <c r="F114" i="13" s="1"/>
  <c r="C114" i="13"/>
  <c r="F115" i="13" s="1"/>
  <c r="C115" i="13"/>
  <c r="F116" i="13" s="1"/>
  <c r="C116" i="13"/>
  <c r="F117" i="13" s="1"/>
  <c r="C117" i="13"/>
  <c r="F118" i="13" s="1"/>
  <c r="C118" i="13"/>
  <c r="F119" i="13" s="1"/>
  <c r="C119" i="13"/>
  <c r="F120" i="13" s="1"/>
  <c r="C120" i="13"/>
  <c r="F121" i="13" s="1"/>
  <c r="C121" i="13"/>
  <c r="F122" i="13" s="1"/>
  <c r="C122" i="13"/>
  <c r="F123" i="13" s="1"/>
  <c r="C123" i="13"/>
  <c r="F124" i="13" s="1"/>
  <c r="C124" i="13"/>
  <c r="F125" i="13" s="1"/>
  <c r="C125" i="13"/>
  <c r="F126" i="13" s="1"/>
  <c r="C126" i="13"/>
  <c r="F127" i="13" s="1"/>
  <c r="C127" i="13"/>
  <c r="F128" i="13" s="1"/>
  <c r="C128" i="13"/>
  <c r="F129" i="13" s="1"/>
  <c r="C129" i="13"/>
  <c r="F130" i="13" s="1"/>
  <c r="C130" i="13"/>
  <c r="F131" i="13" s="1"/>
  <c r="C131" i="13"/>
  <c r="F132" i="13" s="1"/>
  <c r="C132" i="13"/>
  <c r="F133" i="13" s="1"/>
  <c r="C133" i="13"/>
  <c r="F134" i="13" s="1"/>
  <c r="C134" i="13"/>
  <c r="F135" i="13" s="1"/>
  <c r="C135" i="13"/>
  <c r="F136" i="13" s="1"/>
  <c r="C136" i="13"/>
  <c r="F137" i="13" s="1"/>
  <c r="C137" i="13"/>
  <c r="F138" i="13" s="1"/>
  <c r="C138" i="13"/>
  <c r="F139" i="13" s="1"/>
  <c r="C139" i="13"/>
  <c r="F140" i="13" s="1"/>
  <c r="C140" i="13"/>
  <c r="F141" i="13" s="1"/>
  <c r="C141" i="13"/>
  <c r="F142" i="13" s="1"/>
  <c r="C142" i="13"/>
  <c r="F143" i="13" s="1"/>
  <c r="C143" i="13"/>
  <c r="F144" i="13" s="1"/>
  <c r="C144" i="13"/>
  <c r="F145" i="13" s="1"/>
  <c r="C145" i="13"/>
  <c r="F146" i="13" s="1"/>
  <c r="C146" i="13"/>
  <c r="F147" i="13" s="1"/>
  <c r="C147" i="13"/>
  <c r="F148" i="13" s="1"/>
  <c r="C148" i="13"/>
  <c r="F149" i="13" s="1"/>
  <c r="C149" i="13"/>
  <c r="F150" i="13" s="1"/>
  <c r="C150" i="13"/>
  <c r="F151" i="13" s="1"/>
  <c r="C151" i="13"/>
  <c r="F152" i="13" s="1"/>
  <c r="C152" i="13"/>
  <c r="F153" i="13" s="1"/>
  <c r="C153" i="13"/>
  <c r="F154" i="13" s="1"/>
  <c r="C154" i="13"/>
  <c r="F155" i="13" s="1"/>
  <c r="C155" i="13"/>
  <c r="F156" i="13" s="1"/>
  <c r="C156" i="13"/>
  <c r="F157" i="13" s="1"/>
  <c r="C157" i="13"/>
  <c r="F158" i="13" s="1"/>
  <c r="C158" i="13"/>
  <c r="F159" i="13" s="1"/>
  <c r="C159" i="13"/>
  <c r="F160" i="13" s="1"/>
  <c r="C160" i="13"/>
  <c r="F161" i="13" s="1"/>
  <c r="C161" i="13"/>
  <c r="F162" i="13" s="1"/>
  <c r="C162" i="13"/>
  <c r="F163" i="13" s="1"/>
  <c r="C163" i="13"/>
  <c r="F164" i="13" s="1"/>
  <c r="C164" i="13"/>
  <c r="F165" i="13" s="1"/>
  <c r="C165" i="13"/>
  <c r="F166" i="13" s="1"/>
  <c r="C166" i="13"/>
  <c r="F167" i="13" s="1"/>
  <c r="C167" i="13"/>
  <c r="F168" i="13" s="1"/>
  <c r="C168" i="13"/>
  <c r="F169" i="13" s="1"/>
  <c r="C169" i="13"/>
  <c r="F170" i="13" s="1"/>
  <c r="C170" i="13"/>
  <c r="F171" i="13" s="1"/>
  <c r="C171" i="13"/>
  <c r="F172" i="13" s="1"/>
  <c r="C172" i="13"/>
  <c r="F173" i="13" s="1"/>
  <c r="C173" i="13"/>
  <c r="F174" i="13" s="1"/>
  <c r="C174" i="13"/>
  <c r="F175" i="13" s="1"/>
  <c r="C175" i="13"/>
  <c r="F176" i="13" s="1"/>
  <c r="C176" i="13"/>
  <c r="F177" i="13" s="1"/>
  <c r="C177" i="13"/>
  <c r="F178" i="13" s="1"/>
  <c r="C178" i="13"/>
  <c r="F179" i="13" s="1"/>
  <c r="C179" i="13"/>
  <c r="F180" i="13" s="1"/>
  <c r="C180" i="13"/>
  <c r="F181" i="13" s="1"/>
  <c r="C181" i="13"/>
  <c r="F182" i="13" s="1"/>
  <c r="C182" i="13"/>
  <c r="F183" i="13" s="1"/>
  <c r="C183" i="13"/>
  <c r="F184" i="13" s="1"/>
  <c r="C184" i="13"/>
  <c r="F185" i="13" s="1"/>
  <c r="C185" i="13"/>
  <c r="F186" i="13" s="1"/>
  <c r="C186" i="13"/>
  <c r="F187" i="13" s="1"/>
  <c r="C187" i="13"/>
  <c r="F188" i="13" s="1"/>
  <c r="C188" i="13"/>
  <c r="C48" i="13"/>
  <c r="D48" i="13" s="1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E69" i="13" s="1"/>
  <c r="B69" i="13"/>
  <c r="E70" i="13" s="1"/>
  <c r="B70" i="13"/>
  <c r="E71" i="13" s="1"/>
  <c r="B71" i="13"/>
  <c r="E72" i="13" s="1"/>
  <c r="B72" i="13"/>
  <c r="E73" i="13" s="1"/>
  <c r="B73" i="13"/>
  <c r="E74" i="13" s="1"/>
  <c r="B74" i="13"/>
  <c r="E75" i="13" s="1"/>
  <c r="B75" i="13"/>
  <c r="E76" i="13" s="1"/>
  <c r="B76" i="13"/>
  <c r="E77" i="13" s="1"/>
  <c r="B77" i="13"/>
  <c r="E78" i="13" s="1"/>
  <c r="B78" i="13"/>
  <c r="E79" i="13" s="1"/>
  <c r="B79" i="13"/>
  <c r="E80" i="13" s="1"/>
  <c r="B80" i="13"/>
  <c r="E81" i="13" s="1"/>
  <c r="B81" i="13"/>
  <c r="E82" i="13" s="1"/>
  <c r="B82" i="13"/>
  <c r="E83" i="13" s="1"/>
  <c r="B83" i="13"/>
  <c r="E84" i="13" s="1"/>
  <c r="B84" i="13"/>
  <c r="E85" i="13" s="1"/>
  <c r="B85" i="13"/>
  <c r="E86" i="13" s="1"/>
  <c r="B86" i="13"/>
  <c r="E87" i="13" s="1"/>
  <c r="B87" i="13"/>
  <c r="E88" i="13" s="1"/>
  <c r="B88" i="13"/>
  <c r="E89" i="13" s="1"/>
  <c r="B89" i="13"/>
  <c r="E90" i="13" s="1"/>
  <c r="B90" i="13"/>
  <c r="E91" i="13" s="1"/>
  <c r="B91" i="13"/>
  <c r="E92" i="13" s="1"/>
  <c r="B92" i="13"/>
  <c r="E93" i="13" s="1"/>
  <c r="B93" i="13"/>
  <c r="E94" i="13" s="1"/>
  <c r="B94" i="13"/>
  <c r="E95" i="13" s="1"/>
  <c r="B95" i="13"/>
  <c r="E96" i="13" s="1"/>
  <c r="B96" i="13"/>
  <c r="E97" i="13" s="1"/>
  <c r="B97" i="13"/>
  <c r="E98" i="13" s="1"/>
  <c r="B98" i="13"/>
  <c r="E99" i="13" s="1"/>
  <c r="B99" i="13"/>
  <c r="E100" i="13" s="1"/>
  <c r="B100" i="13"/>
  <c r="E101" i="13" s="1"/>
  <c r="B101" i="13"/>
  <c r="E102" i="13" s="1"/>
  <c r="B102" i="13"/>
  <c r="E103" i="13" s="1"/>
  <c r="B103" i="13"/>
  <c r="E104" i="13" s="1"/>
  <c r="B104" i="13"/>
  <c r="E105" i="13" s="1"/>
  <c r="B105" i="13"/>
  <c r="E106" i="13" s="1"/>
  <c r="B106" i="13"/>
  <c r="E107" i="13" s="1"/>
  <c r="B107" i="13"/>
  <c r="E108" i="13" s="1"/>
  <c r="B108" i="13"/>
  <c r="E109" i="13" s="1"/>
  <c r="B109" i="13"/>
  <c r="E110" i="13" s="1"/>
  <c r="B110" i="13"/>
  <c r="E111" i="13" s="1"/>
  <c r="B111" i="13"/>
  <c r="E112" i="13" s="1"/>
  <c r="B112" i="13"/>
  <c r="E113" i="13" s="1"/>
  <c r="B113" i="13"/>
  <c r="E114" i="13" s="1"/>
  <c r="B114" i="13"/>
  <c r="E115" i="13" s="1"/>
  <c r="B115" i="13"/>
  <c r="E116" i="13" s="1"/>
  <c r="B116" i="13"/>
  <c r="E117" i="13" s="1"/>
  <c r="B117" i="13"/>
  <c r="E118" i="13" s="1"/>
  <c r="B118" i="13"/>
  <c r="E119" i="13" s="1"/>
  <c r="B119" i="13"/>
  <c r="E120" i="13" s="1"/>
  <c r="B120" i="13"/>
  <c r="E121" i="13" s="1"/>
  <c r="B121" i="13"/>
  <c r="E122" i="13" s="1"/>
  <c r="B122" i="13"/>
  <c r="E123" i="13" s="1"/>
  <c r="B123" i="13"/>
  <c r="E124" i="13" s="1"/>
  <c r="B124" i="13"/>
  <c r="E125" i="13" s="1"/>
  <c r="B125" i="13"/>
  <c r="E126" i="13" s="1"/>
  <c r="B126" i="13"/>
  <c r="E127" i="13" s="1"/>
  <c r="B127" i="13"/>
  <c r="E128" i="13" s="1"/>
  <c r="B128" i="13"/>
  <c r="E129" i="13" s="1"/>
  <c r="B129" i="13"/>
  <c r="E130" i="13" s="1"/>
  <c r="B130" i="13"/>
  <c r="E131" i="13" s="1"/>
  <c r="B131" i="13"/>
  <c r="E132" i="13" s="1"/>
  <c r="B132" i="13"/>
  <c r="E133" i="13" s="1"/>
  <c r="B133" i="13"/>
  <c r="E134" i="13" s="1"/>
  <c r="B134" i="13"/>
  <c r="E135" i="13" s="1"/>
  <c r="B135" i="13"/>
  <c r="E136" i="13" s="1"/>
  <c r="B136" i="13"/>
  <c r="E137" i="13" s="1"/>
  <c r="B137" i="13"/>
  <c r="E138" i="13" s="1"/>
  <c r="B138" i="13"/>
  <c r="E139" i="13" s="1"/>
  <c r="B139" i="13"/>
  <c r="E140" i="13" s="1"/>
  <c r="B140" i="13"/>
  <c r="E141" i="13" s="1"/>
  <c r="B141" i="13"/>
  <c r="E142" i="13" s="1"/>
  <c r="B142" i="13"/>
  <c r="E143" i="13" s="1"/>
  <c r="B143" i="13"/>
  <c r="E144" i="13" s="1"/>
  <c r="B144" i="13"/>
  <c r="E145" i="13" s="1"/>
  <c r="B145" i="13"/>
  <c r="E146" i="13" s="1"/>
  <c r="B146" i="13"/>
  <c r="E147" i="13" s="1"/>
  <c r="B147" i="13"/>
  <c r="E148" i="13" s="1"/>
  <c r="B148" i="13"/>
  <c r="E149" i="13" s="1"/>
  <c r="B149" i="13"/>
  <c r="E150" i="13" s="1"/>
  <c r="B150" i="13"/>
  <c r="E151" i="13" s="1"/>
  <c r="B151" i="13"/>
  <c r="E152" i="13" s="1"/>
  <c r="B152" i="13"/>
  <c r="E153" i="13" s="1"/>
  <c r="B153" i="13"/>
  <c r="E154" i="13" s="1"/>
  <c r="B154" i="13"/>
  <c r="E155" i="13" s="1"/>
  <c r="B155" i="13"/>
  <c r="E156" i="13" s="1"/>
  <c r="B156" i="13"/>
  <c r="E157" i="13" s="1"/>
  <c r="B157" i="13"/>
  <c r="E158" i="13" s="1"/>
  <c r="B158" i="13"/>
  <c r="E159" i="13" s="1"/>
  <c r="B159" i="13"/>
  <c r="E160" i="13" s="1"/>
  <c r="B160" i="13"/>
  <c r="E161" i="13" s="1"/>
  <c r="B161" i="13"/>
  <c r="E162" i="13" s="1"/>
  <c r="B162" i="13"/>
  <c r="E163" i="13" s="1"/>
  <c r="B163" i="13"/>
  <c r="E164" i="13" s="1"/>
  <c r="B164" i="13"/>
  <c r="E165" i="13" s="1"/>
  <c r="B165" i="13"/>
  <c r="E166" i="13" s="1"/>
  <c r="B166" i="13"/>
  <c r="E167" i="13" s="1"/>
  <c r="B167" i="13"/>
  <c r="E168" i="13" s="1"/>
  <c r="B168" i="13"/>
  <c r="E169" i="13" s="1"/>
  <c r="B169" i="13"/>
  <c r="E170" i="13" s="1"/>
  <c r="B170" i="13"/>
  <c r="E171" i="13" s="1"/>
  <c r="B171" i="13"/>
  <c r="E172" i="13" s="1"/>
  <c r="B172" i="13"/>
  <c r="E173" i="13" s="1"/>
  <c r="B173" i="13"/>
  <c r="E174" i="13" s="1"/>
  <c r="B174" i="13"/>
  <c r="E175" i="13" s="1"/>
  <c r="B175" i="13"/>
  <c r="E176" i="13" s="1"/>
  <c r="B176" i="13"/>
  <c r="E177" i="13" s="1"/>
  <c r="B177" i="13"/>
  <c r="E178" i="13" s="1"/>
  <c r="B178" i="13"/>
  <c r="E179" i="13" s="1"/>
  <c r="B179" i="13"/>
  <c r="E180" i="13" s="1"/>
  <c r="B180" i="13"/>
  <c r="E181" i="13" s="1"/>
  <c r="B181" i="13"/>
  <c r="E182" i="13" s="1"/>
  <c r="B182" i="13"/>
  <c r="E183" i="13" s="1"/>
  <c r="B183" i="13"/>
  <c r="E184" i="13" s="1"/>
  <c r="B184" i="13"/>
  <c r="E185" i="13" s="1"/>
  <c r="B185" i="13"/>
  <c r="E186" i="13" s="1"/>
  <c r="B186" i="13"/>
  <c r="E187" i="13" s="1"/>
  <c r="B187" i="13"/>
  <c r="E188" i="13" s="1"/>
  <c r="B188" i="13"/>
  <c r="H73" i="13" l="1"/>
  <c r="H72" i="13"/>
  <c r="H71" i="13"/>
  <c r="H70" i="13"/>
  <c r="H69" i="13"/>
  <c r="G69" i="13"/>
  <c r="I73" i="13"/>
  <c r="I72" i="13"/>
  <c r="I71" i="13"/>
  <c r="I70" i="13"/>
  <c r="I69" i="13"/>
  <c r="Z73" i="13"/>
  <c r="AA73" i="13"/>
  <c r="AB73" i="13"/>
  <c r="AB74" i="13"/>
  <c r="Z72" i="13"/>
  <c r="AB72" i="13" s="1"/>
  <c r="M3" i="48"/>
  <c r="L3" i="48"/>
  <c r="J3" i="48"/>
  <c r="I3" i="48"/>
  <c r="H3" i="48"/>
  <c r="G3" i="48"/>
  <c r="F3" i="48"/>
  <c r="F3" i="47"/>
  <c r="M3" i="47"/>
  <c r="L3" i="47"/>
  <c r="J3" i="47"/>
  <c r="I3" i="47"/>
  <c r="H3" i="47"/>
  <c r="G3" i="47"/>
  <c r="F3" i="46"/>
  <c r="M3" i="46"/>
  <c r="L3" i="46"/>
  <c r="J3" i="46"/>
  <c r="I3" i="46"/>
  <c r="H3" i="46"/>
  <c r="G3" i="46"/>
  <c r="B8" i="26"/>
  <c r="B29" i="7"/>
  <c r="B30" i="7" s="1"/>
  <c r="J69" i="13" l="1"/>
  <c r="J70" i="13"/>
  <c r="J71" i="13"/>
  <c r="J72" i="13"/>
  <c r="G21" i="7"/>
  <c r="G19" i="7"/>
  <c r="G20" i="7" s="1"/>
  <c r="I20" i="7" s="1"/>
  <c r="I21" i="7"/>
  <c r="C14" i="7"/>
  <c r="D14" i="7"/>
  <c r="E14" i="7"/>
  <c r="F14" i="7"/>
  <c r="G14" i="7"/>
  <c r="H14" i="7"/>
  <c r="I14" i="7"/>
  <c r="B14" i="7"/>
  <c r="I19" i="7" l="1"/>
  <c r="C3" i="4"/>
  <c r="P20" i="26"/>
  <c r="B61" i="26"/>
  <c r="B63" i="26" l="1"/>
  <c r="B62" i="26"/>
  <c r="B60" i="26"/>
  <c r="J10" i="4" l="1"/>
  <c r="I10" i="4"/>
  <c r="H10" i="4"/>
  <c r="G10" i="4"/>
  <c r="F10" i="4"/>
  <c r="E10" i="4"/>
  <c r="D10" i="4"/>
  <c r="D9" i="4"/>
  <c r="E9" i="4"/>
  <c r="F9" i="4"/>
  <c r="G9" i="4"/>
  <c r="H9" i="4"/>
  <c r="I9" i="4"/>
  <c r="J9" i="4"/>
  <c r="C10" i="4"/>
  <c r="C9" i="4"/>
  <c r="C7" i="4"/>
  <c r="D7" i="4"/>
  <c r="E7" i="4"/>
  <c r="F7" i="4"/>
  <c r="G7" i="4"/>
  <c r="H7" i="4"/>
  <c r="I7" i="4"/>
  <c r="J7" i="4"/>
  <c r="B39" i="26"/>
  <c r="B38" i="26"/>
  <c r="B37" i="26"/>
  <c r="B44" i="26" l="1"/>
  <c r="B42" i="26"/>
  <c r="B43" i="26"/>
  <c r="K170" i="13" l="1"/>
  <c r="D29" i="22"/>
  <c r="I3" i="2"/>
  <c r="H50" i="34" l="1"/>
  <c r="D50" i="34"/>
  <c r="C50" i="34"/>
  <c r="K52" i="34" l="1"/>
  <c r="N52" i="34"/>
  <c r="Q52" i="34"/>
  <c r="K53" i="34"/>
  <c r="N53" i="34"/>
  <c r="AD48" i="13" l="1"/>
  <c r="AF48" i="13"/>
  <c r="AD49" i="13"/>
  <c r="AF49" i="13"/>
  <c r="AD50" i="13"/>
  <c r="AF50" i="13"/>
  <c r="AD51" i="13"/>
  <c r="AF51" i="13"/>
  <c r="AD52" i="13"/>
  <c r="AF52" i="13"/>
  <c r="AD53" i="13"/>
  <c r="AF53" i="13"/>
  <c r="AD54" i="13"/>
  <c r="AF54" i="13"/>
  <c r="AD55" i="13"/>
  <c r="AF55" i="13"/>
  <c r="AD56" i="13"/>
  <c r="AF56" i="13"/>
  <c r="AD57" i="13"/>
  <c r="AF57" i="13"/>
  <c r="AD58" i="13"/>
  <c r="AF58" i="13"/>
  <c r="AD59" i="13"/>
  <c r="AF59" i="13"/>
  <c r="AD60" i="13"/>
  <c r="AF60" i="13"/>
  <c r="AD61" i="13"/>
  <c r="AF61" i="13"/>
  <c r="AD62" i="13"/>
  <c r="AF62" i="13"/>
  <c r="AD63" i="13"/>
  <c r="AF63" i="13"/>
  <c r="AD64" i="13"/>
  <c r="AF64" i="13"/>
  <c r="AD65" i="13"/>
  <c r="AF65" i="13"/>
  <c r="AD66" i="13"/>
  <c r="AF66" i="13"/>
  <c r="AD67" i="13"/>
  <c r="AF67" i="13"/>
  <c r="AD68" i="13"/>
  <c r="AF68" i="13"/>
  <c r="AD69" i="13"/>
  <c r="AF69" i="13"/>
  <c r="AD70" i="13"/>
  <c r="AF70" i="13"/>
  <c r="AD71" i="13"/>
  <c r="AF71" i="13"/>
  <c r="AD72" i="13"/>
  <c r="AF72" i="13"/>
  <c r="AD73" i="13"/>
  <c r="AF73" i="13"/>
  <c r="AD74" i="13"/>
  <c r="AF74" i="13"/>
  <c r="AD75" i="13"/>
  <c r="AF75" i="13"/>
  <c r="AD76" i="13"/>
  <c r="AF76" i="13"/>
  <c r="AD77" i="13"/>
  <c r="AF77" i="13"/>
  <c r="AD78" i="13"/>
  <c r="AF78" i="13"/>
  <c r="AD79" i="13"/>
  <c r="AF79" i="13"/>
  <c r="AD80" i="13"/>
  <c r="AF80" i="13"/>
  <c r="AD81" i="13"/>
  <c r="AF81" i="13"/>
  <c r="AD82" i="13"/>
  <c r="AF82" i="13"/>
  <c r="AD83" i="13"/>
  <c r="AF83" i="13"/>
  <c r="AD84" i="13"/>
  <c r="AF84" i="13"/>
  <c r="AD85" i="13"/>
  <c r="AF85" i="13"/>
  <c r="AD86" i="13"/>
  <c r="AF86" i="13"/>
  <c r="AD87" i="13"/>
  <c r="AF87" i="13"/>
  <c r="AD88" i="13"/>
  <c r="AF88" i="13"/>
  <c r="AD89" i="13"/>
  <c r="AF89" i="13"/>
  <c r="AD90" i="13"/>
  <c r="AF90" i="13"/>
  <c r="AD91" i="13"/>
  <c r="AF91" i="13"/>
  <c r="AD92" i="13"/>
  <c r="AF92" i="13"/>
  <c r="AD93" i="13"/>
  <c r="AF93" i="13"/>
  <c r="AD94" i="13"/>
  <c r="AF94" i="13"/>
  <c r="AD95" i="13"/>
  <c r="AF95" i="13"/>
  <c r="AD96" i="13"/>
  <c r="AF96" i="13"/>
  <c r="AD97" i="13"/>
  <c r="AF97" i="13"/>
  <c r="AD98" i="13"/>
  <c r="AF98" i="13"/>
  <c r="AD99" i="13"/>
  <c r="AF99" i="13"/>
  <c r="AD100" i="13"/>
  <c r="AF100" i="13"/>
  <c r="AD101" i="13"/>
  <c r="AF101" i="13"/>
  <c r="AD102" i="13"/>
  <c r="AF102" i="13"/>
  <c r="AD103" i="13"/>
  <c r="AF103" i="13"/>
  <c r="AD104" i="13"/>
  <c r="AF104" i="13"/>
  <c r="AD105" i="13"/>
  <c r="AF105" i="13"/>
  <c r="AD106" i="13"/>
  <c r="AF106" i="13"/>
  <c r="AD107" i="13"/>
  <c r="AF107" i="13"/>
  <c r="AD108" i="13"/>
  <c r="AF108" i="13"/>
  <c r="AD109" i="13"/>
  <c r="AF109" i="13"/>
  <c r="AD110" i="13"/>
  <c r="AF110" i="13"/>
  <c r="AD111" i="13"/>
  <c r="AF111" i="13"/>
  <c r="AD112" i="13"/>
  <c r="AF112" i="13"/>
  <c r="AD113" i="13"/>
  <c r="AF113" i="13"/>
  <c r="AD114" i="13"/>
  <c r="AF114" i="13"/>
  <c r="AD115" i="13"/>
  <c r="AF115" i="13"/>
  <c r="AD116" i="13"/>
  <c r="AF116" i="13"/>
  <c r="AD117" i="13"/>
  <c r="AF117" i="13"/>
  <c r="AD118" i="13"/>
  <c r="AF118" i="13"/>
  <c r="AD119" i="13"/>
  <c r="AF119" i="13"/>
  <c r="AD120" i="13"/>
  <c r="AF120" i="13"/>
  <c r="AD121" i="13"/>
  <c r="AF121" i="13"/>
  <c r="AD122" i="13"/>
  <c r="AF122" i="13"/>
  <c r="AD123" i="13"/>
  <c r="AF123" i="13"/>
  <c r="AD124" i="13"/>
  <c r="AF124" i="13"/>
  <c r="AD125" i="13"/>
  <c r="AF125" i="13"/>
  <c r="AD126" i="13"/>
  <c r="AF126" i="13"/>
  <c r="AD127" i="13"/>
  <c r="AF127" i="13"/>
  <c r="AD128" i="13"/>
  <c r="AF128" i="13"/>
  <c r="AD129" i="13"/>
  <c r="AF129" i="13"/>
  <c r="AD130" i="13"/>
  <c r="AF130" i="13"/>
  <c r="AD131" i="13"/>
  <c r="AF131" i="13"/>
  <c r="AD132" i="13"/>
  <c r="AF132" i="13"/>
  <c r="AD133" i="13"/>
  <c r="AF133" i="13"/>
  <c r="AD134" i="13"/>
  <c r="AF134" i="13"/>
  <c r="AD135" i="13"/>
  <c r="AF135" i="13"/>
  <c r="AD136" i="13"/>
  <c r="AF136" i="13"/>
  <c r="AD137" i="13"/>
  <c r="AF137" i="13"/>
  <c r="AD138" i="13"/>
  <c r="AF138" i="13"/>
  <c r="AD139" i="13"/>
  <c r="AF139" i="13"/>
  <c r="AD140" i="13"/>
  <c r="AF140" i="13"/>
  <c r="AD141" i="13"/>
  <c r="AF141" i="13"/>
  <c r="AD142" i="13"/>
  <c r="AF142" i="13"/>
  <c r="AD143" i="13"/>
  <c r="AF143" i="13"/>
  <c r="AD144" i="13"/>
  <c r="AF144" i="13"/>
  <c r="AD145" i="13"/>
  <c r="AF145" i="13"/>
  <c r="AD146" i="13"/>
  <c r="AF146" i="13"/>
  <c r="AD147" i="13"/>
  <c r="AF147" i="13"/>
  <c r="AD148" i="13"/>
  <c r="AF148" i="13"/>
  <c r="AD149" i="13"/>
  <c r="AF149" i="13"/>
  <c r="AD150" i="13"/>
  <c r="AF150" i="13"/>
  <c r="AD151" i="13"/>
  <c r="AF151" i="13"/>
  <c r="AD152" i="13"/>
  <c r="AF152" i="13"/>
  <c r="AD153" i="13"/>
  <c r="AF153" i="13"/>
  <c r="AD154" i="13"/>
  <c r="AF154" i="13"/>
  <c r="AD155" i="13"/>
  <c r="AF155" i="13"/>
  <c r="AD156" i="13"/>
  <c r="AF156" i="13"/>
  <c r="AD157" i="13"/>
  <c r="AF157" i="13"/>
  <c r="AD158" i="13"/>
  <c r="AF158" i="13"/>
  <c r="AD159" i="13"/>
  <c r="AF159" i="13"/>
  <c r="AD160" i="13"/>
  <c r="AF160" i="13"/>
  <c r="AD161" i="13"/>
  <c r="AF161" i="13"/>
  <c r="AD162" i="13"/>
  <c r="AF162" i="13"/>
  <c r="AD163" i="13"/>
  <c r="AF163" i="13"/>
  <c r="AD164" i="13"/>
  <c r="AF164" i="13"/>
  <c r="AD165" i="13"/>
  <c r="AF165" i="13"/>
  <c r="AD166" i="13"/>
  <c r="AF166" i="13"/>
  <c r="AD167" i="13"/>
  <c r="AF167" i="13"/>
  <c r="AD168" i="13"/>
  <c r="AF168" i="13"/>
  <c r="AD169" i="13"/>
  <c r="AF169" i="13"/>
  <c r="AD170" i="13"/>
  <c r="AF170" i="13"/>
  <c r="AD171" i="13"/>
  <c r="AF171" i="13"/>
  <c r="AD172" i="13"/>
  <c r="AF172" i="13"/>
  <c r="AD173" i="13"/>
  <c r="AF173" i="13"/>
  <c r="AD174" i="13"/>
  <c r="AF174" i="13"/>
  <c r="AD175" i="13"/>
  <c r="AF175" i="13"/>
  <c r="AD176" i="13"/>
  <c r="AF176" i="13"/>
  <c r="AD177" i="13"/>
  <c r="AF177" i="13"/>
  <c r="AD178" i="13"/>
  <c r="AF178" i="13"/>
  <c r="AD179" i="13"/>
  <c r="AF179" i="13"/>
  <c r="AD180" i="13"/>
  <c r="AF180" i="13"/>
  <c r="AD181" i="13"/>
  <c r="AF181" i="13"/>
  <c r="AD182" i="13"/>
  <c r="AF182" i="13"/>
  <c r="AD183" i="13"/>
  <c r="AF183" i="13"/>
  <c r="AD184" i="13"/>
  <c r="AF184" i="13"/>
  <c r="AD185" i="13"/>
  <c r="AF185" i="13"/>
  <c r="AD186" i="13"/>
  <c r="AF186" i="13"/>
  <c r="AD187" i="13"/>
  <c r="AF187" i="13"/>
  <c r="AD188" i="13"/>
  <c r="AF188" i="13"/>
  <c r="E2" i="25" l="1"/>
  <c r="L2" i="25" s="1"/>
  <c r="D2" i="25"/>
  <c r="K2" i="25" s="1"/>
  <c r="C2" i="25"/>
  <c r="J2" i="25" s="1"/>
  <c r="B2" i="25"/>
  <c r="I2" i="25" s="1"/>
  <c r="A2" i="25"/>
  <c r="H2" i="25"/>
  <c r="E2" i="8"/>
  <c r="L2" i="8" s="1"/>
  <c r="D2" i="8"/>
  <c r="K2" i="8" s="1"/>
  <c r="C2" i="8"/>
  <c r="J2" i="8" s="1"/>
  <c r="B2" i="8"/>
  <c r="I2" i="8" s="1"/>
  <c r="A2" i="8"/>
  <c r="H2" i="8" s="1"/>
  <c r="B2" i="17"/>
  <c r="I2" i="17" s="1"/>
  <c r="C2" i="17"/>
  <c r="J2" i="17" s="1"/>
  <c r="D2" i="17"/>
  <c r="K2" i="17" s="1"/>
  <c r="E2" i="17"/>
  <c r="L2" i="17" s="1"/>
  <c r="A2" i="17"/>
  <c r="H2" i="17" s="1"/>
  <c r="I1" i="24"/>
  <c r="H1" i="25" s="1"/>
  <c r="I1" i="2"/>
  <c r="H1" i="8" s="1"/>
  <c r="I1" i="16"/>
  <c r="H1" i="17" s="1"/>
  <c r="N2" i="24"/>
  <c r="M2" i="24"/>
  <c r="L2" i="24"/>
  <c r="K2" i="24"/>
  <c r="J2" i="24"/>
  <c r="I2" i="24"/>
  <c r="N2" i="16"/>
  <c r="M2" i="16"/>
  <c r="L2" i="16"/>
  <c r="K2" i="16"/>
  <c r="J2" i="16"/>
  <c r="I2" i="16"/>
  <c r="K2" i="2"/>
  <c r="L2" i="2"/>
  <c r="M2" i="2"/>
  <c r="N2" i="2"/>
  <c r="J2" i="2"/>
  <c r="I2" i="2"/>
  <c r="D5" i="23"/>
  <c r="AA8" i="13" l="1"/>
  <c r="AA9" i="13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59" i="13"/>
  <c r="AA60" i="13"/>
  <c r="AA61" i="13"/>
  <c r="AA62" i="13"/>
  <c r="AA63" i="13"/>
  <c r="AA64" i="13"/>
  <c r="AA65" i="13"/>
  <c r="AA66" i="13"/>
  <c r="AA67" i="13"/>
  <c r="AA68" i="13"/>
  <c r="AA69" i="13"/>
  <c r="AA70" i="13"/>
  <c r="AA71" i="13"/>
  <c r="Z8" i="13"/>
  <c r="Z9" i="13"/>
  <c r="Z10" i="13"/>
  <c r="Z11" i="13"/>
  <c r="Z12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5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8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51" i="13"/>
  <c r="Z52" i="13"/>
  <c r="Z53" i="13"/>
  <c r="Z54" i="13"/>
  <c r="Z55" i="13"/>
  <c r="Z56" i="13"/>
  <c r="Z57" i="13"/>
  <c r="Z58" i="13"/>
  <c r="Z59" i="13"/>
  <c r="Z60" i="13"/>
  <c r="Z61" i="13"/>
  <c r="Z62" i="13"/>
  <c r="Z63" i="13"/>
  <c r="Z64" i="13"/>
  <c r="Z65" i="13"/>
  <c r="Z66" i="13"/>
  <c r="Z67" i="13"/>
  <c r="Z68" i="13"/>
  <c r="Z69" i="13"/>
  <c r="Z70" i="13"/>
  <c r="Z71" i="13"/>
  <c r="AA7" i="13"/>
  <c r="Z7" i="13"/>
  <c r="G71" i="13"/>
  <c r="I48" i="13"/>
  <c r="I49" i="13"/>
  <c r="I50" i="13"/>
  <c r="F50" i="13" s="1"/>
  <c r="I51" i="13"/>
  <c r="F51" i="13" s="1"/>
  <c r="I52" i="13"/>
  <c r="F52" i="13" s="1"/>
  <c r="I53" i="13"/>
  <c r="F53" i="13" s="1"/>
  <c r="I54" i="13"/>
  <c r="F54" i="13" s="1"/>
  <c r="I55" i="13"/>
  <c r="F55" i="13" s="1"/>
  <c r="I56" i="13"/>
  <c r="F56" i="13" s="1"/>
  <c r="I57" i="13"/>
  <c r="F57" i="13" s="1"/>
  <c r="I58" i="13"/>
  <c r="F58" i="13" s="1"/>
  <c r="I59" i="13"/>
  <c r="F59" i="13" s="1"/>
  <c r="I60" i="13"/>
  <c r="F60" i="13" s="1"/>
  <c r="I61" i="13"/>
  <c r="F61" i="13" s="1"/>
  <c r="I62" i="13"/>
  <c r="F62" i="13" s="1"/>
  <c r="I63" i="13"/>
  <c r="F63" i="13" s="1"/>
  <c r="I64" i="13"/>
  <c r="F64" i="13" s="1"/>
  <c r="I65" i="13"/>
  <c r="F65" i="13" s="1"/>
  <c r="I66" i="13"/>
  <c r="F66" i="13" s="1"/>
  <c r="I67" i="13"/>
  <c r="F67" i="13" s="1"/>
  <c r="I68" i="13"/>
  <c r="F68" i="13" s="1"/>
  <c r="H48" i="13"/>
  <c r="H49" i="13"/>
  <c r="E49" i="13" s="1"/>
  <c r="H50" i="13"/>
  <c r="E50" i="13" s="1"/>
  <c r="H51" i="13"/>
  <c r="E51" i="13" s="1"/>
  <c r="G51" i="13" s="1"/>
  <c r="H52" i="13"/>
  <c r="E52" i="13" s="1"/>
  <c r="G52" i="13" s="1"/>
  <c r="H53" i="13"/>
  <c r="E53" i="13" s="1"/>
  <c r="H54" i="13"/>
  <c r="E54" i="13" s="1"/>
  <c r="H55" i="13"/>
  <c r="E55" i="13" s="1"/>
  <c r="G55" i="13" s="1"/>
  <c r="H56" i="13"/>
  <c r="E56" i="13" s="1"/>
  <c r="G56" i="13" s="1"/>
  <c r="H57" i="13"/>
  <c r="E57" i="13" s="1"/>
  <c r="H58" i="13"/>
  <c r="E58" i="13" s="1"/>
  <c r="H59" i="13"/>
  <c r="E59" i="13" s="1"/>
  <c r="G59" i="13" s="1"/>
  <c r="H60" i="13"/>
  <c r="E60" i="13" s="1"/>
  <c r="G60" i="13" s="1"/>
  <c r="H61" i="13"/>
  <c r="E61" i="13" s="1"/>
  <c r="H62" i="13"/>
  <c r="E62" i="13" s="1"/>
  <c r="H63" i="13"/>
  <c r="E63" i="13" s="1"/>
  <c r="G63" i="13" s="1"/>
  <c r="H64" i="13"/>
  <c r="E64" i="13" s="1"/>
  <c r="G64" i="13" s="1"/>
  <c r="H65" i="13"/>
  <c r="E65" i="13" s="1"/>
  <c r="H66" i="13"/>
  <c r="E66" i="13" s="1"/>
  <c r="H67" i="13"/>
  <c r="E67" i="13" s="1"/>
  <c r="G67" i="13" s="1"/>
  <c r="H68" i="13"/>
  <c r="E68" i="13" s="1"/>
  <c r="G68" i="13" s="1"/>
  <c r="V49" i="13"/>
  <c r="V50" i="13"/>
  <c r="V51" i="13"/>
  <c r="V52" i="13"/>
  <c r="V53" i="13"/>
  <c r="V54" i="13"/>
  <c r="V55" i="13"/>
  <c r="V56" i="13"/>
  <c r="V57" i="13"/>
  <c r="V58" i="13"/>
  <c r="V59" i="13"/>
  <c r="V60" i="13"/>
  <c r="V61" i="13"/>
  <c r="V62" i="13"/>
  <c r="V63" i="13"/>
  <c r="V64" i="13"/>
  <c r="V65" i="13"/>
  <c r="V66" i="13"/>
  <c r="V67" i="13"/>
  <c r="V68" i="13"/>
  <c r="V69" i="13"/>
  <c r="V70" i="13"/>
  <c r="V71" i="13"/>
  <c r="V72" i="13"/>
  <c r="V73" i="13"/>
  <c r="V74" i="13"/>
  <c r="V75" i="13"/>
  <c r="V76" i="13"/>
  <c r="V77" i="13"/>
  <c r="V78" i="13"/>
  <c r="V79" i="13"/>
  <c r="V80" i="13"/>
  <c r="V81" i="13"/>
  <c r="V82" i="13"/>
  <c r="V83" i="13"/>
  <c r="V84" i="13"/>
  <c r="V85" i="13"/>
  <c r="V86" i="13"/>
  <c r="V87" i="13"/>
  <c r="V88" i="13"/>
  <c r="V89" i="13"/>
  <c r="V90" i="13"/>
  <c r="V91" i="13"/>
  <c r="V92" i="13"/>
  <c r="V93" i="13"/>
  <c r="V94" i="13"/>
  <c r="V95" i="13"/>
  <c r="V96" i="13"/>
  <c r="V97" i="13"/>
  <c r="V98" i="13"/>
  <c r="V99" i="13"/>
  <c r="V100" i="13"/>
  <c r="V101" i="13"/>
  <c r="V102" i="13"/>
  <c r="V103" i="13"/>
  <c r="V104" i="13"/>
  <c r="V105" i="13"/>
  <c r="V106" i="13"/>
  <c r="V107" i="13"/>
  <c r="V108" i="13"/>
  <c r="V109" i="13"/>
  <c r="V110" i="13"/>
  <c r="V111" i="13"/>
  <c r="V112" i="13"/>
  <c r="V113" i="13"/>
  <c r="V114" i="13"/>
  <c r="V115" i="13"/>
  <c r="V116" i="13"/>
  <c r="V117" i="13"/>
  <c r="V118" i="13"/>
  <c r="V119" i="13"/>
  <c r="V120" i="13"/>
  <c r="V121" i="13"/>
  <c r="V122" i="13"/>
  <c r="V123" i="13"/>
  <c r="V124" i="13"/>
  <c r="V125" i="13"/>
  <c r="V126" i="13"/>
  <c r="V127" i="13"/>
  <c r="V128" i="13"/>
  <c r="V129" i="13"/>
  <c r="V130" i="13"/>
  <c r="V131" i="13"/>
  <c r="V132" i="13"/>
  <c r="V133" i="13"/>
  <c r="V134" i="13"/>
  <c r="V135" i="13"/>
  <c r="V136" i="13"/>
  <c r="V137" i="13"/>
  <c r="V138" i="13"/>
  <c r="V139" i="13"/>
  <c r="V140" i="13"/>
  <c r="V141" i="13"/>
  <c r="V142" i="13"/>
  <c r="V143" i="13"/>
  <c r="V144" i="13"/>
  <c r="V145" i="13"/>
  <c r="V146" i="13"/>
  <c r="V147" i="13"/>
  <c r="V148" i="13"/>
  <c r="V149" i="13"/>
  <c r="V150" i="13"/>
  <c r="V151" i="13"/>
  <c r="V152" i="13"/>
  <c r="V153" i="13"/>
  <c r="V154" i="13"/>
  <c r="V155" i="13"/>
  <c r="V156" i="13"/>
  <c r="V157" i="13"/>
  <c r="V158" i="13"/>
  <c r="V159" i="13"/>
  <c r="V160" i="13"/>
  <c r="V161" i="13"/>
  <c r="V162" i="13"/>
  <c r="V163" i="13"/>
  <c r="V164" i="13"/>
  <c r="V165" i="13"/>
  <c r="V166" i="13"/>
  <c r="V167" i="13"/>
  <c r="V168" i="13"/>
  <c r="V169" i="13"/>
  <c r="V170" i="13"/>
  <c r="V171" i="13"/>
  <c r="V172" i="13"/>
  <c r="V173" i="13"/>
  <c r="V174" i="13"/>
  <c r="V175" i="13"/>
  <c r="V176" i="13"/>
  <c r="V177" i="13"/>
  <c r="V178" i="13"/>
  <c r="V179" i="13"/>
  <c r="V180" i="13"/>
  <c r="V181" i="13"/>
  <c r="V182" i="13"/>
  <c r="V183" i="13"/>
  <c r="V184" i="13"/>
  <c r="V185" i="13"/>
  <c r="V186" i="13"/>
  <c r="V187" i="13"/>
  <c r="V188" i="13"/>
  <c r="G70" i="13"/>
  <c r="D49" i="13"/>
  <c r="B50" i="34" s="1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A3" i="2"/>
  <c r="I50" i="34" l="1"/>
  <c r="F49" i="13"/>
  <c r="G50" i="34" s="1"/>
  <c r="G66" i="13"/>
  <c r="G62" i="13"/>
  <c r="G58" i="13"/>
  <c r="G54" i="13"/>
  <c r="G50" i="13"/>
  <c r="G65" i="13"/>
  <c r="G53" i="13"/>
  <c r="F50" i="34"/>
  <c r="J50" i="34"/>
  <c r="G61" i="13"/>
  <c r="G57" i="13"/>
  <c r="A4" i="2"/>
  <c r="R48" i="13"/>
  <c r="A47" i="34"/>
  <c r="A48" i="34" s="1"/>
  <c r="A45" i="34"/>
  <c r="A46" i="34" s="1"/>
  <c r="A43" i="34"/>
  <c r="A44" i="34" s="1"/>
  <c r="A41" i="34"/>
  <c r="A42" i="34" s="1"/>
  <c r="A39" i="34"/>
  <c r="A40" i="34" s="1"/>
  <c r="A37" i="34"/>
  <c r="A38" i="34" s="1"/>
  <c r="A35" i="34"/>
  <c r="A36" i="34" s="1"/>
  <c r="A33" i="34"/>
  <c r="A34" i="34" s="1"/>
  <c r="A31" i="34"/>
  <c r="A32" i="34" s="1"/>
  <c r="A29" i="34"/>
  <c r="A30" i="34" s="1"/>
  <c r="A27" i="34"/>
  <c r="A28" i="34" s="1"/>
  <c r="A25" i="34"/>
  <c r="A26" i="34" s="1"/>
  <c r="A23" i="34"/>
  <c r="A24" i="34" s="1"/>
  <c r="A21" i="34"/>
  <c r="A22" i="34" s="1"/>
  <c r="A19" i="34"/>
  <c r="A20" i="34" s="1"/>
  <c r="A17" i="34"/>
  <c r="A18" i="34" s="1"/>
  <c r="A15" i="34"/>
  <c r="A16" i="34" s="1"/>
  <c r="A13" i="34"/>
  <c r="A14" i="34" s="1"/>
  <c r="A11" i="34"/>
  <c r="A12" i="34" s="1"/>
  <c r="A9" i="34"/>
  <c r="A10" i="34" s="1"/>
  <c r="A7" i="34"/>
  <c r="A8" i="34" s="1"/>
  <c r="S49" i="34"/>
  <c r="A6" i="34"/>
  <c r="C183" i="33"/>
  <c r="E183" i="33" s="1"/>
  <c r="C182" i="33"/>
  <c r="E182" i="33" s="1"/>
  <c r="C181" i="33"/>
  <c r="E181" i="33" s="1"/>
  <c r="C180" i="33"/>
  <c r="E180" i="33" s="1"/>
  <c r="C179" i="33"/>
  <c r="E179" i="33" s="1"/>
  <c r="C178" i="33"/>
  <c r="E178" i="33" s="1"/>
  <c r="C177" i="33"/>
  <c r="E177" i="33" s="1"/>
  <c r="C176" i="33"/>
  <c r="E176" i="33" s="1"/>
  <c r="C175" i="33"/>
  <c r="E175" i="33" s="1"/>
  <c r="C174" i="33"/>
  <c r="E174" i="33" s="1"/>
  <c r="C173" i="33"/>
  <c r="E173" i="33" s="1"/>
  <c r="C172" i="33"/>
  <c r="E172" i="33" s="1"/>
  <c r="C171" i="33"/>
  <c r="E171" i="33" s="1"/>
  <c r="C170" i="33"/>
  <c r="E170" i="33" s="1"/>
  <c r="C169" i="33"/>
  <c r="E169" i="33" s="1"/>
  <c r="C168" i="33"/>
  <c r="E168" i="33" s="1"/>
  <c r="C167" i="33"/>
  <c r="E167" i="33" s="1"/>
  <c r="C166" i="33"/>
  <c r="E166" i="33" s="1"/>
  <c r="C165" i="33"/>
  <c r="E165" i="33" s="1"/>
  <c r="C164" i="33"/>
  <c r="E164" i="33" s="1"/>
  <c r="C163" i="33"/>
  <c r="E163" i="33" s="1"/>
  <c r="C162" i="33"/>
  <c r="E162" i="33" s="1"/>
  <c r="C161" i="33"/>
  <c r="E161" i="33" s="1"/>
  <c r="C160" i="33"/>
  <c r="E160" i="33" s="1"/>
  <c r="C159" i="33"/>
  <c r="E159" i="33" s="1"/>
  <c r="C158" i="33"/>
  <c r="E158" i="33" s="1"/>
  <c r="C157" i="33"/>
  <c r="E157" i="33" s="1"/>
  <c r="C156" i="33"/>
  <c r="E156" i="33" s="1"/>
  <c r="C155" i="33"/>
  <c r="E155" i="33" s="1"/>
  <c r="C154" i="33"/>
  <c r="E154" i="33" s="1"/>
  <c r="C153" i="33"/>
  <c r="E153" i="33" s="1"/>
  <c r="C152" i="33"/>
  <c r="E152" i="33" s="1"/>
  <c r="C151" i="33"/>
  <c r="E151" i="33" s="1"/>
  <c r="C150" i="33"/>
  <c r="E150" i="33" s="1"/>
  <c r="C149" i="33"/>
  <c r="E149" i="33" s="1"/>
  <c r="C148" i="33"/>
  <c r="E148" i="33" s="1"/>
  <c r="C147" i="33"/>
  <c r="E147" i="33" s="1"/>
  <c r="C146" i="33"/>
  <c r="E146" i="33" s="1"/>
  <c r="C145" i="33"/>
  <c r="E145" i="33" s="1"/>
  <c r="C144" i="33"/>
  <c r="E144" i="33" s="1"/>
  <c r="C143" i="33"/>
  <c r="E143" i="33" s="1"/>
  <c r="C142" i="33"/>
  <c r="E142" i="33" s="1"/>
  <c r="C141" i="33"/>
  <c r="E141" i="33" s="1"/>
  <c r="C140" i="33"/>
  <c r="E140" i="33" s="1"/>
  <c r="C139" i="33"/>
  <c r="E139" i="33" s="1"/>
  <c r="C138" i="33"/>
  <c r="E138" i="33" s="1"/>
  <c r="C137" i="33"/>
  <c r="E137" i="33" s="1"/>
  <c r="C136" i="33"/>
  <c r="E136" i="33" s="1"/>
  <c r="C135" i="33"/>
  <c r="E135" i="33" s="1"/>
  <c r="C134" i="33"/>
  <c r="E134" i="33" s="1"/>
  <c r="C133" i="33"/>
  <c r="E133" i="33" s="1"/>
  <c r="C132" i="33"/>
  <c r="E132" i="33" s="1"/>
  <c r="C131" i="33"/>
  <c r="E131" i="33" s="1"/>
  <c r="C130" i="33"/>
  <c r="E130" i="33" s="1"/>
  <c r="C129" i="33"/>
  <c r="E129" i="33" s="1"/>
  <c r="C128" i="33"/>
  <c r="E128" i="33" s="1"/>
  <c r="C127" i="33"/>
  <c r="E127" i="33" s="1"/>
  <c r="C126" i="33"/>
  <c r="E126" i="33" s="1"/>
  <c r="C125" i="33"/>
  <c r="E125" i="33" s="1"/>
  <c r="C124" i="33"/>
  <c r="E124" i="33" s="1"/>
  <c r="C123" i="33"/>
  <c r="E123" i="33" s="1"/>
  <c r="C122" i="33"/>
  <c r="E122" i="33" s="1"/>
  <c r="C121" i="33"/>
  <c r="E121" i="33" s="1"/>
  <c r="C120" i="33"/>
  <c r="E120" i="33" s="1"/>
  <c r="C119" i="33"/>
  <c r="E119" i="33" s="1"/>
  <c r="C118" i="33"/>
  <c r="E118" i="33" s="1"/>
  <c r="C117" i="33"/>
  <c r="E117" i="33" s="1"/>
  <c r="C116" i="33"/>
  <c r="E116" i="33" s="1"/>
  <c r="C115" i="33"/>
  <c r="E115" i="33" s="1"/>
  <c r="C114" i="33"/>
  <c r="E114" i="33" s="1"/>
  <c r="C113" i="33"/>
  <c r="E113" i="33" s="1"/>
  <c r="C112" i="33"/>
  <c r="E112" i="33" s="1"/>
  <c r="C111" i="33"/>
  <c r="E111" i="33" s="1"/>
  <c r="C110" i="33"/>
  <c r="E110" i="33" s="1"/>
  <c r="C109" i="33"/>
  <c r="E109" i="33" s="1"/>
  <c r="C108" i="33"/>
  <c r="E108" i="33" s="1"/>
  <c r="C107" i="33"/>
  <c r="E107" i="33" s="1"/>
  <c r="C106" i="33"/>
  <c r="E106" i="33" s="1"/>
  <c r="C105" i="33"/>
  <c r="E105" i="33" s="1"/>
  <c r="C104" i="33"/>
  <c r="E104" i="33" s="1"/>
  <c r="C103" i="33"/>
  <c r="E103" i="33" s="1"/>
  <c r="C102" i="33"/>
  <c r="E102" i="33" s="1"/>
  <c r="C101" i="33"/>
  <c r="E101" i="33" s="1"/>
  <c r="C100" i="33"/>
  <c r="E100" i="33" s="1"/>
  <c r="C99" i="33"/>
  <c r="E99" i="33" s="1"/>
  <c r="C98" i="33"/>
  <c r="E98" i="33" s="1"/>
  <c r="C97" i="33"/>
  <c r="E97" i="33" s="1"/>
  <c r="C96" i="33"/>
  <c r="E96" i="33" s="1"/>
  <c r="C95" i="33"/>
  <c r="E95" i="33" s="1"/>
  <c r="C94" i="33"/>
  <c r="E94" i="33" s="1"/>
  <c r="C93" i="33"/>
  <c r="E93" i="33" s="1"/>
  <c r="C92" i="33"/>
  <c r="E92" i="33" s="1"/>
  <c r="C91" i="33"/>
  <c r="E91" i="33" s="1"/>
  <c r="C90" i="33"/>
  <c r="E90" i="33" s="1"/>
  <c r="C89" i="33"/>
  <c r="E89" i="33" s="1"/>
  <c r="C88" i="33"/>
  <c r="E88" i="33" s="1"/>
  <c r="C87" i="33"/>
  <c r="E87" i="33" s="1"/>
  <c r="C86" i="33"/>
  <c r="E86" i="33" s="1"/>
  <c r="C85" i="33"/>
  <c r="E85" i="33" s="1"/>
  <c r="C84" i="33"/>
  <c r="E84" i="33" s="1"/>
  <c r="C83" i="33"/>
  <c r="E83" i="33" s="1"/>
  <c r="C82" i="33"/>
  <c r="E82" i="33" s="1"/>
  <c r="C81" i="33"/>
  <c r="E81" i="33" s="1"/>
  <c r="C80" i="33"/>
  <c r="E80" i="33" s="1"/>
  <c r="C79" i="33"/>
  <c r="E79" i="33" s="1"/>
  <c r="C78" i="33"/>
  <c r="E78" i="33" s="1"/>
  <c r="C77" i="33"/>
  <c r="E77" i="33" s="1"/>
  <c r="C76" i="33"/>
  <c r="E76" i="33" s="1"/>
  <c r="C75" i="33"/>
  <c r="E75" i="33" s="1"/>
  <c r="C74" i="33"/>
  <c r="E74" i="33" s="1"/>
  <c r="C73" i="33"/>
  <c r="E73" i="33" s="1"/>
  <c r="C72" i="33"/>
  <c r="E72" i="33" s="1"/>
  <c r="C71" i="33"/>
  <c r="E71" i="33" s="1"/>
  <c r="C70" i="33"/>
  <c r="E70" i="33" s="1"/>
  <c r="C69" i="33"/>
  <c r="E69" i="33" s="1"/>
  <c r="C68" i="33"/>
  <c r="E68" i="33" s="1"/>
  <c r="C67" i="33"/>
  <c r="E67" i="33" s="1"/>
  <c r="C66" i="33"/>
  <c r="E66" i="33" s="1"/>
  <c r="C65" i="33"/>
  <c r="E65" i="33" s="1"/>
  <c r="C64" i="33"/>
  <c r="E64" i="33" s="1"/>
  <c r="C63" i="33"/>
  <c r="E63" i="33" s="1"/>
  <c r="C62" i="33"/>
  <c r="E62" i="33" s="1"/>
  <c r="C61" i="33"/>
  <c r="E61" i="33" s="1"/>
  <c r="C60" i="33"/>
  <c r="E60" i="33" s="1"/>
  <c r="C59" i="33"/>
  <c r="E59" i="33" s="1"/>
  <c r="C58" i="33"/>
  <c r="E58" i="33" s="1"/>
  <c r="C57" i="33"/>
  <c r="E57" i="33" s="1"/>
  <c r="C56" i="33"/>
  <c r="E56" i="33" s="1"/>
  <c r="C55" i="33"/>
  <c r="E55" i="33" s="1"/>
  <c r="C54" i="33"/>
  <c r="E54" i="33" s="1"/>
  <c r="C53" i="33"/>
  <c r="E53" i="33" s="1"/>
  <c r="C52" i="33"/>
  <c r="E52" i="33" s="1"/>
  <c r="C51" i="33"/>
  <c r="E51" i="33" s="1"/>
  <c r="C50" i="33"/>
  <c r="E50" i="33" s="1"/>
  <c r="C49" i="33"/>
  <c r="E49" i="33" s="1"/>
  <c r="C48" i="33"/>
  <c r="E48" i="33" s="1"/>
  <c r="C47" i="33"/>
  <c r="E47" i="33" s="1"/>
  <c r="C46" i="33"/>
  <c r="E46" i="33" s="1"/>
  <c r="C45" i="33"/>
  <c r="E45" i="33" s="1"/>
  <c r="E44" i="33"/>
  <c r="D9" i="33"/>
  <c r="D10" i="33" s="1"/>
  <c r="D11" i="33" s="1"/>
  <c r="D12" i="33" s="1"/>
  <c r="D8" i="33"/>
  <c r="D7" i="33"/>
  <c r="D6" i="33"/>
  <c r="D5" i="33"/>
  <c r="D4" i="33"/>
  <c r="D3" i="33"/>
  <c r="B3" i="33"/>
  <c r="D2" i="33"/>
  <c r="G49" i="13" l="1"/>
  <c r="S55" i="34"/>
  <c r="A5" i="2"/>
  <c r="Q48" i="13"/>
  <c r="S48" i="13" s="1"/>
  <c r="E12" i="33"/>
  <c r="D13" i="33"/>
  <c r="B4" i="33"/>
  <c r="R49" i="34"/>
  <c r="E11" i="33"/>
  <c r="F2" i="33"/>
  <c r="F3" i="33" s="1"/>
  <c r="F4" i="33" s="1"/>
  <c r="F5" i="33" s="1"/>
  <c r="F6" i="33" s="1"/>
  <c r="F7" i="33" s="1"/>
  <c r="F8" i="33" s="1"/>
  <c r="F9" i="33" s="1"/>
  <c r="F10" i="33" s="1"/>
  <c r="F11" i="33" s="1"/>
  <c r="F12" i="33" s="1"/>
  <c r="F13" i="33" s="1"/>
  <c r="E10" i="33"/>
  <c r="L49" i="34"/>
  <c r="B27" i="7"/>
  <c r="B34" i="7" s="1"/>
  <c r="B9" i="26"/>
  <c r="R55" i="34" l="1"/>
  <c r="L55" i="34"/>
  <c r="A6" i="2"/>
  <c r="E13" i="33"/>
  <c r="D14" i="33"/>
  <c r="M49" i="34"/>
  <c r="U6" i="13"/>
  <c r="Q49" i="34"/>
  <c r="I49" i="34"/>
  <c r="F14" i="33"/>
  <c r="B5" i="33"/>
  <c r="C16" i="26" l="1"/>
  <c r="I55" i="34"/>
  <c r="K49" i="34"/>
  <c r="M55" i="34"/>
  <c r="Q55" i="34"/>
  <c r="A7" i="2"/>
  <c r="U7" i="13"/>
  <c r="T8" i="13"/>
  <c r="B6" i="33"/>
  <c r="E14" i="33"/>
  <c r="D15" i="33"/>
  <c r="F15" i="33" s="1"/>
  <c r="U8" i="13"/>
  <c r="C15" i="7"/>
  <c r="D15" i="7"/>
  <c r="E15" i="7"/>
  <c r="F15" i="7"/>
  <c r="G15" i="7"/>
  <c r="H15" i="7"/>
  <c r="I15" i="7"/>
  <c r="B15" i="7"/>
  <c r="B16" i="7" l="1"/>
  <c r="K55" i="34"/>
  <c r="K54" i="34"/>
  <c r="AF8" i="13"/>
  <c r="V8" i="13"/>
  <c r="X7" i="13"/>
  <c r="X8" i="13"/>
  <c r="A8" i="2"/>
  <c r="B7" i="33"/>
  <c r="U9" i="13"/>
  <c r="T6" i="13"/>
  <c r="AF6" i="13" s="1"/>
  <c r="E15" i="33"/>
  <c r="D16" i="33"/>
  <c r="D21" i="7"/>
  <c r="D19" i="7"/>
  <c r="B20" i="7"/>
  <c r="D20" i="7" s="1"/>
  <c r="X9" i="13" l="1"/>
  <c r="V6" i="13"/>
  <c r="T9" i="13"/>
  <c r="AF9" i="13" s="1"/>
  <c r="T7" i="13"/>
  <c r="AF7" i="13" s="1"/>
  <c r="A9" i="2"/>
  <c r="E16" i="33"/>
  <c r="D17" i="33"/>
  <c r="B8" i="33"/>
  <c r="F16" i="33"/>
  <c r="K3" i="13"/>
  <c r="T3" i="13"/>
  <c r="B3" i="13"/>
  <c r="V7" i="13" l="1"/>
  <c r="W7" i="13"/>
  <c r="Y7" i="13" s="1"/>
  <c r="W8" i="13"/>
  <c r="T10" i="13"/>
  <c r="U10" i="13"/>
  <c r="W9" i="13"/>
  <c r="Y9" i="13" s="1"/>
  <c r="V9" i="13"/>
  <c r="A10" i="2"/>
  <c r="B9" i="33"/>
  <c r="E17" i="33"/>
  <c r="D18" i="33"/>
  <c r="F17" i="33"/>
  <c r="F18" i="33" s="1"/>
  <c r="D20" i="14"/>
  <c r="E20" i="14"/>
  <c r="F20" i="14"/>
  <c r="G20" i="14"/>
  <c r="H20" i="14"/>
  <c r="I20" i="14"/>
  <c r="J20" i="14"/>
  <c r="C20" i="14"/>
  <c r="D19" i="14"/>
  <c r="E19" i="14"/>
  <c r="F19" i="14"/>
  <c r="G19" i="14"/>
  <c r="H19" i="14"/>
  <c r="I19" i="14"/>
  <c r="J19" i="14"/>
  <c r="C19" i="14"/>
  <c r="D18" i="14"/>
  <c r="D23" i="14" s="1"/>
  <c r="E18" i="14"/>
  <c r="E23" i="14" s="1"/>
  <c r="F18" i="14"/>
  <c r="F23" i="14" s="1"/>
  <c r="G18" i="14"/>
  <c r="G23" i="14" s="1"/>
  <c r="H18" i="14"/>
  <c r="H23" i="14" s="1"/>
  <c r="I18" i="14"/>
  <c r="I23" i="14" s="1"/>
  <c r="J18" i="14"/>
  <c r="J23" i="14" s="1"/>
  <c r="C18" i="14"/>
  <c r="C23" i="14" s="1"/>
  <c r="C18" i="22"/>
  <c r="C23" i="22" s="1"/>
  <c r="D20" i="22"/>
  <c r="E20" i="22"/>
  <c r="F20" i="22"/>
  <c r="G20" i="22"/>
  <c r="H20" i="22"/>
  <c r="I20" i="22"/>
  <c r="J20" i="22"/>
  <c r="C20" i="22"/>
  <c r="D19" i="22"/>
  <c r="E19" i="22"/>
  <c r="F19" i="22"/>
  <c r="G19" i="22"/>
  <c r="H19" i="22"/>
  <c r="I19" i="22"/>
  <c r="J19" i="22"/>
  <c r="C19" i="22"/>
  <c r="D18" i="22"/>
  <c r="D23" i="22" s="1"/>
  <c r="E18" i="22"/>
  <c r="E23" i="22" s="1"/>
  <c r="F18" i="22"/>
  <c r="F23" i="22" s="1"/>
  <c r="G18" i="22"/>
  <c r="G23" i="22" s="1"/>
  <c r="H18" i="22"/>
  <c r="H23" i="22" s="1"/>
  <c r="I18" i="22"/>
  <c r="I23" i="22" s="1"/>
  <c r="J18" i="22"/>
  <c r="J23" i="22" s="1"/>
  <c r="X10" i="13" l="1"/>
  <c r="AF10" i="13"/>
  <c r="V10" i="13"/>
  <c r="W10" i="13"/>
  <c r="U11" i="13"/>
  <c r="T11" i="13"/>
  <c r="Y8" i="13"/>
  <c r="A11" i="2"/>
  <c r="B10" i="33"/>
  <c r="E18" i="33"/>
  <c r="D19" i="33"/>
  <c r="Y10" i="13" l="1"/>
  <c r="X11" i="13"/>
  <c r="AF11" i="13"/>
  <c r="T12" i="13"/>
  <c r="U12" i="13"/>
  <c r="V11" i="13"/>
  <c r="W11" i="13"/>
  <c r="A12" i="2"/>
  <c r="B11" i="33"/>
  <c r="E19" i="33"/>
  <c r="D20" i="33"/>
  <c r="F19" i="33"/>
  <c r="F20" i="33" s="1"/>
  <c r="C5" i="4"/>
  <c r="A3" i="24" s="1"/>
  <c r="A4" i="24" s="1"/>
  <c r="C4" i="4"/>
  <c r="B32" i="26"/>
  <c r="B31" i="26"/>
  <c r="D5" i="15"/>
  <c r="A5" i="24" l="1"/>
  <c r="Y11" i="13"/>
  <c r="X12" i="13"/>
  <c r="AF12" i="13"/>
  <c r="B1" i="7"/>
  <c r="T13" i="13"/>
  <c r="U13" i="13"/>
  <c r="V12" i="13"/>
  <c r="W12" i="13"/>
  <c r="A13" i="2"/>
  <c r="A3" i="16"/>
  <c r="C22" i="4"/>
  <c r="E20" i="33"/>
  <c r="D21" i="33"/>
  <c r="B12" i="33"/>
  <c r="F21" i="33"/>
  <c r="B2" i="23"/>
  <c r="B2" i="15"/>
  <c r="A6" i="24" l="1"/>
  <c r="Y12" i="13"/>
  <c r="X13" i="13"/>
  <c r="AF13" i="13"/>
  <c r="U14" i="13"/>
  <c r="T14" i="13"/>
  <c r="W13" i="13"/>
  <c r="V13" i="13"/>
  <c r="A14" i="2"/>
  <c r="A4" i="16"/>
  <c r="E21" i="33"/>
  <c r="D22" i="33"/>
  <c r="B13" i="33"/>
  <c r="Y13" i="13" l="1"/>
  <c r="A7" i="24"/>
  <c r="X14" i="13"/>
  <c r="AF14" i="13"/>
  <c r="T15" i="13"/>
  <c r="V14" i="13"/>
  <c r="W14" i="13"/>
  <c r="U15" i="13"/>
  <c r="A15" i="2"/>
  <c r="A5" i="16"/>
  <c r="E22" i="33"/>
  <c r="D23" i="33"/>
  <c r="B14" i="33"/>
  <c r="F22" i="33"/>
  <c r="F23" i="33" s="1"/>
  <c r="Y14" i="13" l="1"/>
  <c r="A8" i="24"/>
  <c r="X15" i="13"/>
  <c r="AF15" i="13"/>
  <c r="V15" i="13"/>
  <c r="W15" i="13"/>
  <c r="T16" i="13"/>
  <c r="U16" i="13"/>
  <c r="A16" i="2"/>
  <c r="A6" i="16"/>
  <c r="B15" i="33"/>
  <c r="E23" i="33"/>
  <c r="D24" i="33"/>
  <c r="F24" i="33" s="1"/>
  <c r="Y15" i="13" l="1"/>
  <c r="A9" i="24"/>
  <c r="X16" i="13"/>
  <c r="AF16" i="13"/>
  <c r="T17" i="13"/>
  <c r="V16" i="13"/>
  <c r="W16" i="13"/>
  <c r="U17" i="13"/>
  <c r="A17" i="2"/>
  <c r="A7" i="16"/>
  <c r="B16" i="33"/>
  <c r="E24" i="33"/>
  <c r="D25" i="33"/>
  <c r="F25" i="33" s="1"/>
  <c r="A10" i="24" l="1"/>
  <c r="Y16" i="13"/>
  <c r="X17" i="13"/>
  <c r="AF17" i="13"/>
  <c r="T18" i="13"/>
  <c r="W17" i="13"/>
  <c r="V17" i="13"/>
  <c r="U18" i="13"/>
  <c r="A18" i="2"/>
  <c r="A8" i="16"/>
  <c r="B17" i="33"/>
  <c r="E25" i="33"/>
  <c r="D26" i="33"/>
  <c r="A11" i="24" l="1"/>
  <c r="Y17" i="13"/>
  <c r="X18" i="13"/>
  <c r="AF18" i="13"/>
  <c r="U19" i="13"/>
  <c r="V18" i="13"/>
  <c r="W18" i="13"/>
  <c r="T19" i="13"/>
  <c r="A19" i="2"/>
  <c r="A9" i="16"/>
  <c r="E26" i="33"/>
  <c r="D27" i="33"/>
  <c r="B18" i="33"/>
  <c r="F26" i="33"/>
  <c r="A12" i="24" l="1"/>
  <c r="Y18" i="13"/>
  <c r="X19" i="13"/>
  <c r="AF19" i="13"/>
  <c r="T20" i="13"/>
  <c r="U20" i="13"/>
  <c r="V19" i="13"/>
  <c r="W19" i="13"/>
  <c r="A20" i="2"/>
  <c r="A10" i="16"/>
  <c r="F27" i="33"/>
  <c r="E27" i="33"/>
  <c r="D28" i="33"/>
  <c r="B19" i="33"/>
  <c r="A13" i="24" l="1"/>
  <c r="Y19" i="13"/>
  <c r="X20" i="13"/>
  <c r="AF20" i="13"/>
  <c r="T21" i="13"/>
  <c r="V20" i="13"/>
  <c r="W20" i="13"/>
  <c r="U21" i="13"/>
  <c r="A21" i="2"/>
  <c r="A11" i="16"/>
  <c r="E28" i="33"/>
  <c r="D29" i="33"/>
  <c r="B20" i="33"/>
  <c r="F28" i="33"/>
  <c r="F29" i="33" s="1"/>
  <c r="A14" i="24" l="1"/>
  <c r="Y20" i="13"/>
  <c r="X21" i="13"/>
  <c r="AF21" i="13"/>
  <c r="T22" i="13"/>
  <c r="U22" i="13"/>
  <c r="W21" i="13"/>
  <c r="V21" i="13"/>
  <c r="A22" i="2"/>
  <c r="A12" i="16"/>
  <c r="B21" i="33"/>
  <c r="E29" i="33"/>
  <c r="D30" i="33"/>
  <c r="Y21" i="13" l="1"/>
  <c r="A15" i="24"/>
  <c r="X22" i="13"/>
  <c r="AF22" i="13"/>
  <c r="T23" i="13"/>
  <c r="V22" i="13"/>
  <c r="W22" i="13"/>
  <c r="U23" i="13"/>
  <c r="A23" i="2"/>
  <c r="A13" i="16"/>
  <c r="E30" i="33"/>
  <c r="D31" i="33"/>
  <c r="B22" i="33"/>
  <c r="F30" i="33"/>
  <c r="A16" i="24" l="1"/>
  <c r="X23" i="13"/>
  <c r="AF23" i="13"/>
  <c r="Y22" i="13"/>
  <c r="V23" i="13"/>
  <c r="W23" i="13"/>
  <c r="T24" i="13"/>
  <c r="U24" i="13"/>
  <c r="A24" i="2"/>
  <c r="A14" i="16"/>
  <c r="E31" i="33"/>
  <c r="D32" i="33"/>
  <c r="B23" i="33"/>
  <c r="F31" i="33"/>
  <c r="A17" i="24" l="1"/>
  <c r="Y23" i="13"/>
  <c r="X24" i="13"/>
  <c r="AF24" i="13"/>
  <c r="U25" i="13"/>
  <c r="V24" i="13"/>
  <c r="W24" i="13"/>
  <c r="T25" i="13"/>
  <c r="A25" i="2"/>
  <c r="A15" i="16"/>
  <c r="E32" i="33"/>
  <c r="D33" i="33"/>
  <c r="B24" i="33"/>
  <c r="F32" i="33"/>
  <c r="Y24" i="13" l="1"/>
  <c r="A18" i="24"/>
  <c r="X25" i="13"/>
  <c r="AF25" i="13"/>
  <c r="W25" i="13"/>
  <c r="V25" i="13"/>
  <c r="T26" i="13"/>
  <c r="U26" i="13"/>
  <c r="A26" i="2"/>
  <c r="A16" i="16"/>
  <c r="B25" i="33"/>
  <c r="E33" i="33"/>
  <c r="D34" i="33"/>
  <c r="F33" i="33"/>
  <c r="F34" i="33" s="1"/>
  <c r="A19" i="24" l="1"/>
  <c r="Y25" i="13"/>
  <c r="X26" i="13"/>
  <c r="AF26" i="13"/>
  <c r="V26" i="13"/>
  <c r="W26" i="13"/>
  <c r="U27" i="13"/>
  <c r="T27" i="13"/>
  <c r="A27" i="2"/>
  <c r="A17" i="16"/>
  <c r="B26" i="33"/>
  <c r="E34" i="33"/>
  <c r="D35" i="33"/>
  <c r="F35" i="33" s="1"/>
  <c r="A20" i="24" l="1"/>
  <c r="X27" i="13"/>
  <c r="AF27" i="13"/>
  <c r="Y26" i="13"/>
  <c r="U28" i="13"/>
  <c r="T28" i="13"/>
  <c r="V27" i="13"/>
  <c r="W27" i="13"/>
  <c r="A28" i="2"/>
  <c r="A18" i="16"/>
  <c r="B27" i="33"/>
  <c r="E35" i="33"/>
  <c r="D36" i="33"/>
  <c r="A21" i="24" l="1"/>
  <c r="Y27" i="13"/>
  <c r="X28" i="13"/>
  <c r="AF28" i="13"/>
  <c r="U29" i="13"/>
  <c r="V28" i="13"/>
  <c r="W28" i="13"/>
  <c r="T29" i="13"/>
  <c r="A29" i="2"/>
  <c r="A19" i="16"/>
  <c r="E36" i="33"/>
  <c r="D37" i="33"/>
  <c r="F36" i="33"/>
  <c r="B28" i="33"/>
  <c r="B35" i="4"/>
  <c r="B36" i="4"/>
  <c r="L188" i="13"/>
  <c r="K188" i="13"/>
  <c r="K187" i="13"/>
  <c r="L186" i="13"/>
  <c r="K186" i="13"/>
  <c r="K185" i="13"/>
  <c r="L184" i="13"/>
  <c r="K184" i="13"/>
  <c r="K183" i="13"/>
  <c r="L182" i="13"/>
  <c r="K182" i="13"/>
  <c r="K181" i="13"/>
  <c r="L180" i="13"/>
  <c r="K180" i="13"/>
  <c r="K179" i="13"/>
  <c r="L178" i="13"/>
  <c r="K178" i="13"/>
  <c r="K177" i="13"/>
  <c r="L176" i="13"/>
  <c r="K176" i="13"/>
  <c r="K175" i="13"/>
  <c r="L174" i="13"/>
  <c r="K174" i="13"/>
  <c r="K173" i="13"/>
  <c r="L172" i="13"/>
  <c r="K172" i="13"/>
  <c r="K171" i="13"/>
  <c r="L170" i="13"/>
  <c r="K169" i="13"/>
  <c r="L168" i="13"/>
  <c r="K168" i="13"/>
  <c r="K167" i="13"/>
  <c r="L166" i="13"/>
  <c r="K166" i="13"/>
  <c r="K165" i="13"/>
  <c r="L164" i="13"/>
  <c r="K164" i="13"/>
  <c r="K163" i="13"/>
  <c r="L162" i="13"/>
  <c r="K162" i="13"/>
  <c r="K161" i="13"/>
  <c r="L160" i="13"/>
  <c r="K160" i="13"/>
  <c r="K159" i="13"/>
  <c r="L158" i="13"/>
  <c r="K158" i="13"/>
  <c r="K157" i="13"/>
  <c r="L156" i="13"/>
  <c r="K156" i="13"/>
  <c r="K155" i="13"/>
  <c r="L154" i="13"/>
  <c r="K154" i="13"/>
  <c r="K153" i="13"/>
  <c r="K152" i="13"/>
  <c r="K151" i="13"/>
  <c r="L150" i="13"/>
  <c r="K150" i="13"/>
  <c r="K148" i="13"/>
  <c r="K147" i="13"/>
  <c r="K146" i="13"/>
  <c r="K145" i="13"/>
  <c r="L144" i="13"/>
  <c r="K144" i="13"/>
  <c r="K143" i="13"/>
  <c r="L142" i="13"/>
  <c r="K135" i="13"/>
  <c r="K134" i="13"/>
  <c r="K133" i="13"/>
  <c r="K132" i="13"/>
  <c r="K131" i="13"/>
  <c r="K130" i="13"/>
  <c r="K121" i="13"/>
  <c r="L120" i="13"/>
  <c r="L119" i="13"/>
  <c r="L115" i="13"/>
  <c r="K113" i="13"/>
  <c r="K111" i="13"/>
  <c r="L109" i="13"/>
  <c r="L108" i="13"/>
  <c r="L107" i="13"/>
  <c r="K107" i="13"/>
  <c r="L106" i="13"/>
  <c r="K106" i="13"/>
  <c r="L104" i="13"/>
  <c r="K97" i="13"/>
  <c r="K95" i="13"/>
  <c r="K93" i="13"/>
  <c r="L90" i="13"/>
  <c r="K90" i="13"/>
  <c r="L87" i="13"/>
  <c r="K86" i="13"/>
  <c r="K83" i="13"/>
  <c r="K82" i="13"/>
  <c r="K77" i="13"/>
  <c r="L73" i="13"/>
  <c r="K71" i="13"/>
  <c r="L69" i="13"/>
  <c r="K67" i="13"/>
  <c r="K64" i="13"/>
  <c r="K63" i="13"/>
  <c r="K60" i="13"/>
  <c r="L57" i="13"/>
  <c r="L55" i="13"/>
  <c r="L54" i="13"/>
  <c r="AE170" i="13" l="1"/>
  <c r="M170" i="13"/>
  <c r="G77" i="13"/>
  <c r="AE150" i="13"/>
  <c r="M150" i="13"/>
  <c r="AE160" i="13"/>
  <c r="M160" i="13"/>
  <c r="AE162" i="13"/>
  <c r="M162" i="13"/>
  <c r="AE164" i="13"/>
  <c r="M164" i="13"/>
  <c r="AE106" i="13"/>
  <c r="M106" i="13"/>
  <c r="AE107" i="13"/>
  <c r="M107" i="13"/>
  <c r="AE144" i="13"/>
  <c r="M144" i="13"/>
  <c r="AE154" i="13"/>
  <c r="M154" i="13"/>
  <c r="AE156" i="13"/>
  <c r="M156" i="13"/>
  <c r="AE166" i="13"/>
  <c r="M166" i="13"/>
  <c r="AE168" i="13"/>
  <c r="M168" i="13"/>
  <c r="AE90" i="13"/>
  <c r="M90" i="13"/>
  <c r="AE158" i="13"/>
  <c r="M158" i="13"/>
  <c r="AE172" i="13"/>
  <c r="M172" i="13"/>
  <c r="AE174" i="13"/>
  <c r="M174" i="13"/>
  <c r="AE176" i="13"/>
  <c r="M176" i="13"/>
  <c r="AE178" i="13"/>
  <c r="M178" i="13"/>
  <c r="AE180" i="13"/>
  <c r="M180" i="13"/>
  <c r="AE182" i="13"/>
  <c r="M182" i="13"/>
  <c r="AE184" i="13"/>
  <c r="M184" i="13"/>
  <c r="AE186" i="13"/>
  <c r="M186" i="13"/>
  <c r="AE188" i="13"/>
  <c r="M188" i="13"/>
  <c r="A22" i="24"/>
  <c r="Y28" i="13"/>
  <c r="X29" i="13"/>
  <c r="AF29" i="13"/>
  <c r="W29" i="13"/>
  <c r="V29" i="13"/>
  <c r="T30" i="13"/>
  <c r="U30" i="13"/>
  <c r="A30" i="2"/>
  <c r="A20" i="16"/>
  <c r="E37" i="33"/>
  <c r="D38" i="33"/>
  <c r="B29" i="33"/>
  <c r="F37" i="33"/>
  <c r="F38" i="33" s="1"/>
  <c r="K69" i="13"/>
  <c r="K73" i="13"/>
  <c r="H77" i="13"/>
  <c r="K78" i="13"/>
  <c r="K80" i="13"/>
  <c r="K84" i="13"/>
  <c r="K88" i="13"/>
  <c r="Y104" i="13"/>
  <c r="L105" i="13"/>
  <c r="K109" i="13"/>
  <c r="I117" i="13"/>
  <c r="L116" i="13"/>
  <c r="L118" i="13"/>
  <c r="G123" i="13"/>
  <c r="K122" i="13"/>
  <c r="K124" i="13"/>
  <c r="O126" i="13"/>
  <c r="L129" i="13"/>
  <c r="L140" i="13"/>
  <c r="K59" i="13"/>
  <c r="L59" i="13"/>
  <c r="L64" i="13"/>
  <c r="AE64" i="13" s="1"/>
  <c r="L67" i="13"/>
  <c r="AE67" i="13" s="1"/>
  <c r="L71" i="13"/>
  <c r="AE71" i="13" s="1"/>
  <c r="O75" i="13"/>
  <c r="L78" i="13"/>
  <c r="L80" i="13"/>
  <c r="L82" i="13"/>
  <c r="M82" i="13" s="1"/>
  <c r="L84" i="13"/>
  <c r="L86" i="13"/>
  <c r="AE86" i="13" s="1"/>
  <c r="L88" i="13"/>
  <c r="K92" i="13"/>
  <c r="K94" i="13"/>
  <c r="K96" i="13"/>
  <c r="K98" i="13"/>
  <c r="K100" i="13"/>
  <c r="K102" i="13"/>
  <c r="L122" i="13"/>
  <c r="L124" i="13"/>
  <c r="I132" i="13"/>
  <c r="L131" i="13"/>
  <c r="AE131" i="13" s="1"/>
  <c r="L133" i="13"/>
  <c r="AE133" i="13" s="1"/>
  <c r="K61" i="13"/>
  <c r="K75" i="13"/>
  <c r="L92" i="13"/>
  <c r="L94" i="13"/>
  <c r="L96" i="13"/>
  <c r="L98" i="13"/>
  <c r="L100" i="13"/>
  <c r="L102" i="13"/>
  <c r="L111" i="13"/>
  <c r="AE111" i="13" s="1"/>
  <c r="L113" i="13"/>
  <c r="AE113" i="13" s="1"/>
  <c r="K126" i="13"/>
  <c r="AA128" i="13"/>
  <c r="L135" i="13"/>
  <c r="AE135" i="13" s="1"/>
  <c r="K137" i="13"/>
  <c r="K139" i="13"/>
  <c r="AA141" i="13"/>
  <c r="L146" i="13"/>
  <c r="AE146" i="13" s="1"/>
  <c r="I149" i="13"/>
  <c r="L148" i="13"/>
  <c r="AE148" i="13" s="1"/>
  <c r="L152" i="13"/>
  <c r="AE152" i="13" s="1"/>
  <c r="K48" i="13"/>
  <c r="K50" i="13"/>
  <c r="K52" i="13"/>
  <c r="K54" i="13"/>
  <c r="K56" i="13"/>
  <c r="K58" i="13"/>
  <c r="L61" i="13"/>
  <c r="K66" i="13"/>
  <c r="L75" i="13"/>
  <c r="Y97" i="13"/>
  <c r="Y99" i="13"/>
  <c r="K104" i="13"/>
  <c r="AA106" i="13"/>
  <c r="K115" i="13"/>
  <c r="K117" i="13"/>
  <c r="K119" i="13"/>
  <c r="L126" i="13"/>
  <c r="K128" i="13"/>
  <c r="AA130" i="13"/>
  <c r="I138" i="13"/>
  <c r="L137" i="13"/>
  <c r="L139" i="13"/>
  <c r="K141" i="13"/>
  <c r="L51" i="13"/>
  <c r="L52" i="13"/>
  <c r="L58" i="13"/>
  <c r="L66" i="13"/>
  <c r="K68" i="13"/>
  <c r="K70" i="13"/>
  <c r="G73" i="13"/>
  <c r="K72" i="13"/>
  <c r="G78" i="13"/>
  <c r="L77" i="13"/>
  <c r="AE77" i="13" s="1"/>
  <c r="K79" i="13"/>
  <c r="G82" i="13"/>
  <c r="K81" i="13"/>
  <c r="K85" i="13"/>
  <c r="K87" i="13"/>
  <c r="K89" i="13"/>
  <c r="K108" i="13"/>
  <c r="L117" i="13"/>
  <c r="K123" i="13"/>
  <c r="K125" i="13"/>
  <c r="L128" i="13"/>
  <c r="L141" i="13"/>
  <c r="L53" i="13"/>
  <c r="L50" i="13"/>
  <c r="L63" i="13"/>
  <c r="AE63" i="13" s="1"/>
  <c r="K65" i="13"/>
  <c r="L68" i="13"/>
  <c r="L70" i="13"/>
  <c r="L72" i="13"/>
  <c r="H78" i="13"/>
  <c r="I80" i="13"/>
  <c r="L79" i="13"/>
  <c r="L81" i="13"/>
  <c r="L83" i="13"/>
  <c r="AE83" i="13" s="1"/>
  <c r="L85" i="13"/>
  <c r="L89" i="13"/>
  <c r="K91" i="13"/>
  <c r="G100" i="13"/>
  <c r="K99" i="13"/>
  <c r="K101" i="13"/>
  <c r="K110" i="13"/>
  <c r="K112" i="13"/>
  <c r="Y116" i="13"/>
  <c r="Y118" i="13"/>
  <c r="L121" i="13"/>
  <c r="AE121" i="13" s="1"/>
  <c r="L123" i="13"/>
  <c r="L125" i="13"/>
  <c r="L130" i="13"/>
  <c r="AE130" i="13" s="1"/>
  <c r="L132" i="13"/>
  <c r="M132" i="13" s="1"/>
  <c r="L134" i="13"/>
  <c r="AE134" i="13" s="1"/>
  <c r="K136" i="13"/>
  <c r="L143" i="13"/>
  <c r="AE143" i="13" s="1"/>
  <c r="K149" i="13"/>
  <c r="L48" i="13"/>
  <c r="L56" i="13"/>
  <c r="K62" i="13"/>
  <c r="L65" i="13"/>
  <c r="K74" i="13"/>
  <c r="K76" i="13"/>
  <c r="Y90" i="13"/>
  <c r="L91" i="13"/>
  <c r="L93" i="13"/>
  <c r="AE93" i="13" s="1"/>
  <c r="L95" i="13"/>
  <c r="AE95" i="13" s="1"/>
  <c r="L97" i="13"/>
  <c r="AE97" i="13" s="1"/>
  <c r="L99" i="13"/>
  <c r="L101" i="13"/>
  <c r="K103" i="13"/>
  <c r="Y109" i="13"/>
  <c r="I111" i="13"/>
  <c r="L110" i="13"/>
  <c r="L112" i="13"/>
  <c r="G115" i="13"/>
  <c r="K114" i="13"/>
  <c r="Y122" i="13"/>
  <c r="Y124" i="13"/>
  <c r="K127" i="13"/>
  <c r="L136" i="13"/>
  <c r="K138" i="13"/>
  <c r="L145" i="13"/>
  <c r="AE145" i="13" s="1"/>
  <c r="L147" i="13"/>
  <c r="AE147" i="13" s="1"/>
  <c r="L149" i="13"/>
  <c r="O152" i="13"/>
  <c r="L151" i="13"/>
  <c r="AE151" i="13" s="1"/>
  <c r="L153" i="13"/>
  <c r="AE153" i="13" s="1"/>
  <c r="L155" i="13"/>
  <c r="AE155" i="13" s="1"/>
  <c r="L157" i="13"/>
  <c r="AE157" i="13" s="1"/>
  <c r="L159" i="13"/>
  <c r="AE159" i="13" s="1"/>
  <c r="L161" i="13"/>
  <c r="AE161" i="13" s="1"/>
  <c r="L163" i="13"/>
  <c r="AE163" i="13" s="1"/>
  <c r="L165" i="13"/>
  <c r="L167" i="13"/>
  <c r="L169" i="13"/>
  <c r="AE169" i="13" s="1"/>
  <c r="L171" i="13"/>
  <c r="M171" i="13" s="1"/>
  <c r="L173" i="13"/>
  <c r="AE173" i="13" s="1"/>
  <c r="L175" i="13"/>
  <c r="AE175" i="13" s="1"/>
  <c r="L177" i="13"/>
  <c r="AE177" i="13" s="1"/>
  <c r="L179" i="13"/>
  <c r="M179" i="13" s="1"/>
  <c r="L181" i="13"/>
  <c r="L183" i="13"/>
  <c r="AE183" i="13" s="1"/>
  <c r="L185" i="13"/>
  <c r="AE185" i="13" s="1"/>
  <c r="L187" i="13"/>
  <c r="AE187" i="13" s="1"/>
  <c r="L49" i="13"/>
  <c r="L60" i="13"/>
  <c r="AE60" i="13" s="1"/>
  <c r="K49" i="13"/>
  <c r="K51" i="13"/>
  <c r="K53" i="13"/>
  <c r="K55" i="13"/>
  <c r="K57" i="13"/>
  <c r="L62" i="13"/>
  <c r="L74" i="13"/>
  <c r="O77" i="13"/>
  <c r="L76" i="13"/>
  <c r="Y92" i="13"/>
  <c r="Y94" i="13"/>
  <c r="Y96" i="13"/>
  <c r="Y102" i="13"/>
  <c r="L103" i="13"/>
  <c r="K105" i="13"/>
  <c r="L114" i="13"/>
  <c r="K116" i="13"/>
  <c r="G119" i="13"/>
  <c r="K118" i="13"/>
  <c r="K120" i="13"/>
  <c r="AA124" i="13"/>
  <c r="Y126" i="13"/>
  <c r="L127" i="13"/>
  <c r="K129" i="13"/>
  <c r="O137" i="13"/>
  <c r="L138" i="13"/>
  <c r="K140" i="13"/>
  <c r="K142" i="13"/>
  <c r="Y150" i="13"/>
  <c r="H75" i="13"/>
  <c r="H81" i="13"/>
  <c r="H89" i="13"/>
  <c r="Z97" i="13"/>
  <c r="Z99" i="13"/>
  <c r="AA112" i="13"/>
  <c r="Z124" i="13"/>
  <c r="I137" i="13"/>
  <c r="AA145" i="13"/>
  <c r="I153" i="13"/>
  <c r="Z94" i="13"/>
  <c r="I113" i="13"/>
  <c r="Z118" i="13"/>
  <c r="H124" i="13"/>
  <c r="I129" i="13"/>
  <c r="AA137" i="13"/>
  <c r="AA151" i="13"/>
  <c r="I77" i="13"/>
  <c r="I86" i="13"/>
  <c r="H88" i="13"/>
  <c r="Z113" i="13"/>
  <c r="Z122" i="13"/>
  <c r="I124" i="13"/>
  <c r="I131" i="13"/>
  <c r="I74" i="13"/>
  <c r="I110" i="13"/>
  <c r="H121" i="13"/>
  <c r="I126" i="13"/>
  <c r="AA86" i="13"/>
  <c r="AA89" i="13"/>
  <c r="Z150" i="13"/>
  <c r="I79" i="13"/>
  <c r="H92" i="13"/>
  <c r="AA148" i="13"/>
  <c r="I75" i="13"/>
  <c r="Y79" i="13"/>
  <c r="Z100" i="13"/>
  <c r="Z119" i="13"/>
  <c r="Z98" i="13"/>
  <c r="I152" i="13"/>
  <c r="Y74" i="13"/>
  <c r="Z76" i="13"/>
  <c r="H79" i="13"/>
  <c r="H113" i="13"/>
  <c r="J113" i="13" s="1"/>
  <c r="Z117" i="13"/>
  <c r="I128" i="13"/>
  <c r="I135" i="13"/>
  <c r="AA138" i="13"/>
  <c r="I143" i="13"/>
  <c r="Z109" i="13"/>
  <c r="Y77" i="13"/>
  <c r="Z82" i="13"/>
  <c r="I91" i="13"/>
  <c r="G87" i="13"/>
  <c r="Y112" i="13"/>
  <c r="H82" i="13"/>
  <c r="Y123" i="13"/>
  <c r="G72" i="13"/>
  <c r="I87" i="13"/>
  <c r="G83" i="13"/>
  <c r="H90" i="13"/>
  <c r="Y87" i="13"/>
  <c r="G118" i="13"/>
  <c r="G91" i="13"/>
  <c r="G94" i="13"/>
  <c r="H93" i="13"/>
  <c r="H95" i="13"/>
  <c r="H97" i="13"/>
  <c r="H117" i="13"/>
  <c r="H86" i="13"/>
  <c r="Z121" i="13"/>
  <c r="G105" i="13"/>
  <c r="I115" i="13"/>
  <c r="G120" i="13"/>
  <c r="Y107" i="13"/>
  <c r="I119" i="13"/>
  <c r="H99" i="13"/>
  <c r="H101" i="13"/>
  <c r="H103" i="13"/>
  <c r="Y108" i="13"/>
  <c r="G107" i="13"/>
  <c r="G112" i="13"/>
  <c r="Y105" i="13"/>
  <c r="AA107" i="13"/>
  <c r="G114" i="13"/>
  <c r="G158" i="13"/>
  <c r="G166" i="13"/>
  <c r="G174" i="13"/>
  <c r="G182" i="13"/>
  <c r="G130" i="13"/>
  <c r="G131" i="13"/>
  <c r="G133" i="13"/>
  <c r="G134" i="13"/>
  <c r="G135" i="13"/>
  <c r="G137" i="13"/>
  <c r="G138" i="13"/>
  <c r="G139" i="13"/>
  <c r="G140" i="13"/>
  <c r="G141" i="13"/>
  <c r="G142" i="13"/>
  <c r="G143" i="13"/>
  <c r="G145" i="13"/>
  <c r="G146" i="13"/>
  <c r="G147" i="13"/>
  <c r="Y152" i="13"/>
  <c r="I147" i="13"/>
  <c r="I125" i="13"/>
  <c r="I127" i="13"/>
  <c r="H127" i="13"/>
  <c r="Y129" i="13"/>
  <c r="Y131" i="13"/>
  <c r="Y132" i="13"/>
  <c r="Y133" i="13"/>
  <c r="Y135" i="13"/>
  <c r="Y136" i="13"/>
  <c r="Y137" i="13"/>
  <c r="Y138" i="13"/>
  <c r="Y139" i="13"/>
  <c r="Y140" i="13"/>
  <c r="Y141" i="13"/>
  <c r="Y145" i="13"/>
  <c r="H128" i="13"/>
  <c r="G148" i="13"/>
  <c r="AA152" i="13"/>
  <c r="AA149" i="13"/>
  <c r="Y151" i="13"/>
  <c r="Y154" i="13"/>
  <c r="Y160" i="13"/>
  <c r="Y162" i="13"/>
  <c r="Y168" i="13"/>
  <c r="Y170" i="13"/>
  <c r="Y176" i="13"/>
  <c r="Y178" i="13"/>
  <c r="Y184" i="13"/>
  <c r="Y186" i="13"/>
  <c r="G153" i="13"/>
  <c r="AA150" i="13"/>
  <c r="G155" i="13"/>
  <c r="G157" i="13"/>
  <c r="G163" i="13"/>
  <c r="G165" i="13"/>
  <c r="G171" i="13"/>
  <c r="G173" i="13"/>
  <c r="G179" i="13"/>
  <c r="G181" i="13"/>
  <c r="G149" i="13"/>
  <c r="G152" i="13"/>
  <c r="Y153" i="13"/>
  <c r="Y159" i="13"/>
  <c r="Y161" i="13"/>
  <c r="Y167" i="13"/>
  <c r="Y169" i="13"/>
  <c r="Y175" i="13"/>
  <c r="Y177" i="13"/>
  <c r="Y183" i="13"/>
  <c r="Y185" i="13"/>
  <c r="G151" i="13"/>
  <c r="AE181" i="13" l="1"/>
  <c r="M181" i="13"/>
  <c r="AE167" i="13"/>
  <c r="M167" i="13"/>
  <c r="AE165" i="13"/>
  <c r="M165" i="13"/>
  <c r="M173" i="13"/>
  <c r="AB150" i="13"/>
  <c r="Y84" i="13"/>
  <c r="M146" i="13"/>
  <c r="Y144" i="13"/>
  <c r="Y100" i="13"/>
  <c r="Y82" i="13"/>
  <c r="Y119" i="13"/>
  <c r="M175" i="13"/>
  <c r="M134" i="13"/>
  <c r="M161" i="13"/>
  <c r="Y181" i="13"/>
  <c r="Y173" i="13"/>
  <c r="Y165" i="13"/>
  <c r="Y157" i="13"/>
  <c r="Y182" i="13"/>
  <c r="Y174" i="13"/>
  <c r="Y166" i="13"/>
  <c r="Y158" i="13"/>
  <c r="Y147" i="13"/>
  <c r="Y143" i="13"/>
  <c r="Y127" i="13"/>
  <c r="Y106" i="13"/>
  <c r="Y83" i="13"/>
  <c r="Y98" i="13"/>
  <c r="Y88" i="13"/>
  <c r="Y80" i="13"/>
  <c r="Y149" i="13"/>
  <c r="Y114" i="13"/>
  <c r="Y103" i="13"/>
  <c r="Y95" i="13"/>
  <c r="Y81" i="13"/>
  <c r="Y128" i="13"/>
  <c r="Y117" i="13"/>
  <c r="M183" i="13"/>
  <c r="M177" i="13"/>
  <c r="M93" i="13"/>
  <c r="M64" i="13"/>
  <c r="M151" i="13"/>
  <c r="AB124" i="13"/>
  <c r="Y113" i="13"/>
  <c r="Y89" i="13"/>
  <c r="M153" i="13"/>
  <c r="Y111" i="13"/>
  <c r="Y76" i="13"/>
  <c r="Y85" i="13"/>
  <c r="Y75" i="13"/>
  <c r="Y187" i="13"/>
  <c r="Y179" i="13"/>
  <c r="Y171" i="13"/>
  <c r="Y163" i="13"/>
  <c r="Y155" i="13"/>
  <c r="Y188" i="13"/>
  <c r="Y180" i="13"/>
  <c r="Y172" i="13"/>
  <c r="Y164" i="13"/>
  <c r="Y156" i="13"/>
  <c r="Y146" i="13"/>
  <c r="Y142" i="13"/>
  <c r="Y134" i="13"/>
  <c r="Y130" i="13"/>
  <c r="Y125" i="13"/>
  <c r="Y91" i="13"/>
  <c r="Y148" i="13"/>
  <c r="Y86" i="13"/>
  <c r="Y120" i="13"/>
  <c r="Y110" i="13"/>
  <c r="Y101" i="13"/>
  <c r="Y93" i="13"/>
  <c r="Y121" i="13"/>
  <c r="Y115" i="13"/>
  <c r="M185" i="13"/>
  <c r="M111" i="13"/>
  <c r="M71" i="13"/>
  <c r="M148" i="13"/>
  <c r="M113" i="13"/>
  <c r="M157" i="13"/>
  <c r="M130" i="13"/>
  <c r="Z111" i="13"/>
  <c r="Z90" i="13"/>
  <c r="N78" i="13"/>
  <c r="Y78" i="13"/>
  <c r="Z85" i="13"/>
  <c r="Z86" i="13"/>
  <c r="AB86" i="13" s="1"/>
  <c r="Z115" i="13"/>
  <c r="J77" i="13"/>
  <c r="J75" i="13"/>
  <c r="G111" i="13"/>
  <c r="M187" i="13"/>
  <c r="M95" i="13"/>
  <c r="G187" i="13"/>
  <c r="G188" i="13"/>
  <c r="G180" i="13"/>
  <c r="G172" i="13"/>
  <c r="G164" i="13"/>
  <c r="G156" i="13"/>
  <c r="G106" i="13"/>
  <c r="G96" i="13"/>
  <c r="G126" i="13"/>
  <c r="G109" i="13"/>
  <c r="G88" i="13"/>
  <c r="G101" i="13"/>
  <c r="G97" i="13"/>
  <c r="G93" i="13"/>
  <c r="G89" i="13"/>
  <c r="G81" i="13"/>
  <c r="AE132" i="13"/>
  <c r="AE179" i="13"/>
  <c r="AE171" i="13"/>
  <c r="AE82" i="13"/>
  <c r="G104" i="13"/>
  <c r="G185" i="13"/>
  <c r="G177" i="13"/>
  <c r="G169" i="13"/>
  <c r="G161" i="13"/>
  <c r="G144" i="13"/>
  <c r="G136" i="13"/>
  <c r="G132" i="13"/>
  <c r="G186" i="13"/>
  <c r="G178" i="13"/>
  <c r="G170" i="13"/>
  <c r="G162" i="13"/>
  <c r="G154" i="13"/>
  <c r="G122" i="13"/>
  <c r="G108" i="13"/>
  <c r="G84" i="13"/>
  <c r="G150" i="13"/>
  <c r="G113" i="13"/>
  <c r="G102" i="13"/>
  <c r="G92" i="13"/>
  <c r="G125" i="13"/>
  <c r="G110" i="13"/>
  <c r="M121" i="13"/>
  <c r="M83" i="13"/>
  <c r="M131" i="13"/>
  <c r="M67" i="13"/>
  <c r="M97" i="13"/>
  <c r="M77" i="13"/>
  <c r="M63" i="13"/>
  <c r="M169" i="13"/>
  <c r="M163" i="13"/>
  <c r="M159" i="13"/>
  <c r="M135" i="13"/>
  <c r="M147" i="13"/>
  <c r="M145" i="13"/>
  <c r="M143" i="13"/>
  <c r="M86" i="13"/>
  <c r="M155" i="13"/>
  <c r="M152" i="13"/>
  <c r="M133" i="13"/>
  <c r="M60" i="13"/>
  <c r="G183" i="13"/>
  <c r="G175" i="13"/>
  <c r="G167" i="13"/>
  <c r="G159" i="13"/>
  <c r="J128" i="13"/>
  <c r="J127" i="13"/>
  <c r="G184" i="13"/>
  <c r="G176" i="13"/>
  <c r="G168" i="13"/>
  <c r="G160" i="13"/>
  <c r="G116" i="13"/>
  <c r="G98" i="13"/>
  <c r="G76" i="13"/>
  <c r="J79" i="13"/>
  <c r="G124" i="13"/>
  <c r="G90" i="13"/>
  <c r="G86" i="13"/>
  <c r="G80" i="13"/>
  <c r="G127" i="13"/>
  <c r="G103" i="13"/>
  <c r="G99" i="13"/>
  <c r="G95" i="13"/>
  <c r="G85" i="13"/>
  <c r="G79" i="13"/>
  <c r="G74" i="13"/>
  <c r="AE118" i="13"/>
  <c r="M118" i="13"/>
  <c r="AE108" i="13"/>
  <c r="M108" i="13"/>
  <c r="AE81" i="13"/>
  <c r="M81" i="13"/>
  <c r="AE141" i="13"/>
  <c r="M141" i="13"/>
  <c r="AE80" i="13"/>
  <c r="M80" i="13"/>
  <c r="AE69" i="13"/>
  <c r="M69" i="13"/>
  <c r="Q117" i="13"/>
  <c r="J117" i="13"/>
  <c r="AE129" i="13"/>
  <c r="M129" i="13"/>
  <c r="AE57" i="13"/>
  <c r="M57" i="13"/>
  <c r="AE49" i="13"/>
  <c r="M49" i="13"/>
  <c r="AE138" i="13"/>
  <c r="M138" i="13"/>
  <c r="AE127" i="13"/>
  <c r="M127" i="13"/>
  <c r="AE149" i="13"/>
  <c r="M149" i="13"/>
  <c r="AE112" i="13"/>
  <c r="M112" i="13"/>
  <c r="AE101" i="13"/>
  <c r="M101" i="13"/>
  <c r="AE91" i="13"/>
  <c r="M91" i="13"/>
  <c r="AE70" i="13"/>
  <c r="M70" i="13"/>
  <c r="AE66" i="13"/>
  <c r="M66" i="13"/>
  <c r="AE54" i="13"/>
  <c r="M54" i="13"/>
  <c r="AE139" i="13"/>
  <c r="M139" i="13"/>
  <c r="AE124" i="13"/>
  <c r="M124" i="13"/>
  <c r="AE109" i="13"/>
  <c r="M109" i="13"/>
  <c r="J86" i="13"/>
  <c r="AE51" i="13"/>
  <c r="M51" i="13"/>
  <c r="AE125" i="13"/>
  <c r="M125" i="13"/>
  <c r="AE87" i="13"/>
  <c r="M87" i="13"/>
  <c r="AE115" i="13"/>
  <c r="M115" i="13"/>
  <c r="AE75" i="13"/>
  <c r="M75" i="13"/>
  <c r="AE96" i="13"/>
  <c r="M96" i="13"/>
  <c r="AE88" i="13"/>
  <c r="M88" i="13"/>
  <c r="Q99" i="13"/>
  <c r="H129" i="13"/>
  <c r="J129" i="13" s="1"/>
  <c r="G129" i="13"/>
  <c r="H123" i="13"/>
  <c r="H111" i="13"/>
  <c r="J111" i="13" s="1"/>
  <c r="AE120" i="13"/>
  <c r="M120" i="13"/>
  <c r="AE116" i="13"/>
  <c r="M116" i="13"/>
  <c r="AE55" i="13"/>
  <c r="M55" i="13"/>
  <c r="N128" i="13"/>
  <c r="G128" i="13"/>
  <c r="AE76" i="13"/>
  <c r="M76" i="13"/>
  <c r="AE62" i="13"/>
  <c r="M62" i="13"/>
  <c r="AE136" i="13"/>
  <c r="M136" i="13"/>
  <c r="AE123" i="13"/>
  <c r="M123" i="13"/>
  <c r="AE89" i="13"/>
  <c r="M89" i="13"/>
  <c r="AE85" i="13"/>
  <c r="M85" i="13"/>
  <c r="AE79" i="13"/>
  <c r="M79" i="13"/>
  <c r="AE68" i="13"/>
  <c r="M68" i="13"/>
  <c r="AE119" i="13"/>
  <c r="M119" i="13"/>
  <c r="AE52" i="13"/>
  <c r="M52" i="13"/>
  <c r="AE137" i="13"/>
  <c r="M137" i="13"/>
  <c r="AE126" i="13"/>
  <c r="M126" i="13"/>
  <c r="AE61" i="13"/>
  <c r="M61" i="13"/>
  <c r="AE102" i="13"/>
  <c r="M102" i="13"/>
  <c r="AE98" i="13"/>
  <c r="M98" i="13"/>
  <c r="AE94" i="13"/>
  <c r="M94" i="13"/>
  <c r="AE84" i="13"/>
  <c r="M84" i="13"/>
  <c r="AE78" i="13"/>
  <c r="M78" i="13"/>
  <c r="AE73" i="13"/>
  <c r="M73" i="13"/>
  <c r="Q124" i="13"/>
  <c r="J124" i="13"/>
  <c r="AE140" i="13"/>
  <c r="M140" i="13"/>
  <c r="N75" i="13"/>
  <c r="P75" i="13" s="1"/>
  <c r="G75" i="13"/>
  <c r="AE65" i="13"/>
  <c r="M65" i="13"/>
  <c r="AE56" i="13"/>
  <c r="M56" i="13"/>
  <c r="AE100" i="13"/>
  <c r="M100" i="13"/>
  <c r="AE92" i="13"/>
  <c r="M92" i="13"/>
  <c r="Q97" i="13"/>
  <c r="Q90" i="13"/>
  <c r="H102" i="13"/>
  <c r="AE142" i="13"/>
  <c r="M142" i="13"/>
  <c r="N121" i="13"/>
  <c r="G121" i="13"/>
  <c r="N117" i="13"/>
  <c r="G117" i="13"/>
  <c r="AE53" i="13"/>
  <c r="M53" i="13"/>
  <c r="AE114" i="13"/>
  <c r="M114" i="13"/>
  <c r="AE103" i="13"/>
  <c r="M103" i="13"/>
  <c r="AE74" i="13"/>
  <c r="M74" i="13"/>
  <c r="AE110" i="13"/>
  <c r="M110" i="13"/>
  <c r="AE99" i="13"/>
  <c r="M99" i="13"/>
  <c r="AE72" i="13"/>
  <c r="M72" i="13"/>
  <c r="AE128" i="13"/>
  <c r="M128" i="13"/>
  <c r="AE117" i="13"/>
  <c r="M117" i="13"/>
  <c r="AE58" i="13"/>
  <c r="M58" i="13"/>
  <c r="AE50" i="13"/>
  <c r="M50" i="13"/>
  <c r="AE59" i="13"/>
  <c r="M59" i="13"/>
  <c r="AE122" i="13"/>
  <c r="M122" i="13"/>
  <c r="AE48" i="13"/>
  <c r="M48" i="13"/>
  <c r="AE105" i="13"/>
  <c r="M105" i="13"/>
  <c r="AE104" i="13"/>
  <c r="M104" i="13"/>
  <c r="A23" i="24"/>
  <c r="Y29" i="13"/>
  <c r="X30" i="13"/>
  <c r="AF30" i="13"/>
  <c r="T31" i="13"/>
  <c r="V30" i="13"/>
  <c r="W30" i="13"/>
  <c r="U31" i="13"/>
  <c r="A31" i="2"/>
  <c r="A21" i="16"/>
  <c r="E38" i="33"/>
  <c r="D39" i="33"/>
  <c r="B30" i="33"/>
  <c r="Q113" i="13"/>
  <c r="AA183" i="13"/>
  <c r="AA167" i="13"/>
  <c r="H151" i="13"/>
  <c r="N151" i="13"/>
  <c r="Z175" i="13"/>
  <c r="Z159" i="13"/>
  <c r="I181" i="13"/>
  <c r="O181" i="13"/>
  <c r="I165" i="13"/>
  <c r="O165" i="13"/>
  <c r="H173" i="13"/>
  <c r="N173" i="13"/>
  <c r="H157" i="13"/>
  <c r="N157" i="13"/>
  <c r="AA180" i="13"/>
  <c r="AA164" i="13"/>
  <c r="Z186" i="13"/>
  <c r="Z170" i="13"/>
  <c r="Z154" i="13"/>
  <c r="I178" i="13"/>
  <c r="O178" i="13"/>
  <c r="I162" i="13"/>
  <c r="O162" i="13"/>
  <c r="Z147" i="13"/>
  <c r="Z139" i="13"/>
  <c r="Z131" i="13"/>
  <c r="AA127" i="13"/>
  <c r="R127" i="13" s="1"/>
  <c r="AA111" i="13"/>
  <c r="R111" i="13" s="1"/>
  <c r="H142" i="13"/>
  <c r="N142" i="13"/>
  <c r="H134" i="13"/>
  <c r="N134" i="13"/>
  <c r="H182" i="13"/>
  <c r="N182" i="13"/>
  <c r="H166" i="13"/>
  <c r="N166" i="13"/>
  <c r="H114" i="13"/>
  <c r="N114" i="13"/>
  <c r="I101" i="13"/>
  <c r="J101" i="13" s="1"/>
  <c r="O101" i="13"/>
  <c r="Z107" i="13"/>
  <c r="AB107" i="13" s="1"/>
  <c r="I112" i="13"/>
  <c r="O112" i="13"/>
  <c r="I116" i="13"/>
  <c r="O116" i="13"/>
  <c r="Z87" i="13"/>
  <c r="AA97" i="13"/>
  <c r="AB97" i="13" s="1"/>
  <c r="AA101" i="13"/>
  <c r="R128" i="13"/>
  <c r="R152" i="13"/>
  <c r="Z148" i="13"/>
  <c r="AB148" i="13" s="1"/>
  <c r="AA94" i="13"/>
  <c r="AB94" i="13" s="1"/>
  <c r="Q121" i="13"/>
  <c r="AA84" i="13"/>
  <c r="I146" i="13"/>
  <c r="O146" i="13"/>
  <c r="O111" i="13"/>
  <c r="I92" i="13"/>
  <c r="J92" i="13" s="1"/>
  <c r="O92" i="13"/>
  <c r="Z116" i="13"/>
  <c r="Z95" i="13"/>
  <c r="Z128" i="13"/>
  <c r="AB128" i="13" s="1"/>
  <c r="N97" i="13"/>
  <c r="O87" i="13"/>
  <c r="O79" i="13"/>
  <c r="H125" i="13"/>
  <c r="J125" i="13" s="1"/>
  <c r="N125" i="13"/>
  <c r="Z104" i="13"/>
  <c r="H85" i="13"/>
  <c r="N85" i="13"/>
  <c r="AA185" i="13"/>
  <c r="Z173" i="13"/>
  <c r="Z157" i="13"/>
  <c r="I179" i="13"/>
  <c r="O179" i="13"/>
  <c r="I163" i="13"/>
  <c r="O163" i="13"/>
  <c r="H187" i="13"/>
  <c r="N187" i="13"/>
  <c r="H171" i="13"/>
  <c r="N171" i="13"/>
  <c r="H155" i="13"/>
  <c r="N155" i="13"/>
  <c r="AA178" i="13"/>
  <c r="AA162" i="13"/>
  <c r="Z184" i="13"/>
  <c r="Z168" i="13"/>
  <c r="Z151" i="13"/>
  <c r="AB151" i="13" s="1"/>
  <c r="I176" i="13"/>
  <c r="O176" i="13"/>
  <c r="I160" i="13"/>
  <c r="O160" i="13"/>
  <c r="Z146" i="13"/>
  <c r="Z138" i="13"/>
  <c r="AB138" i="13" s="1"/>
  <c r="Z130" i="13"/>
  <c r="AB130" i="13" s="1"/>
  <c r="AA125" i="13"/>
  <c r="Z152" i="13"/>
  <c r="AB152" i="13" s="1"/>
  <c r="H141" i="13"/>
  <c r="N141" i="13"/>
  <c r="H133" i="13"/>
  <c r="N133" i="13"/>
  <c r="H180" i="13"/>
  <c r="N180" i="13"/>
  <c r="H164" i="13"/>
  <c r="N164" i="13"/>
  <c r="AA108" i="13"/>
  <c r="I99" i="13"/>
  <c r="J99" i="13" s="1"/>
  <c r="O99" i="13"/>
  <c r="Z127" i="13"/>
  <c r="I96" i="13"/>
  <c r="O96" i="13"/>
  <c r="H96" i="13"/>
  <c r="N96" i="13"/>
  <c r="AA95" i="13"/>
  <c r="AA102" i="13"/>
  <c r="AA147" i="13"/>
  <c r="R147" i="13" s="1"/>
  <c r="AA118" i="13"/>
  <c r="AB118" i="13" s="1"/>
  <c r="AA142" i="13"/>
  <c r="Z78" i="13"/>
  <c r="R124" i="13"/>
  <c r="Z92" i="13"/>
  <c r="H104" i="13"/>
  <c r="N104" i="13"/>
  <c r="AA114" i="13"/>
  <c r="N102" i="13"/>
  <c r="O86" i="13"/>
  <c r="Q78" i="13"/>
  <c r="H126" i="13"/>
  <c r="J126" i="13" s="1"/>
  <c r="N126" i="13"/>
  <c r="P126" i="13" s="1"/>
  <c r="N86" i="13"/>
  <c r="P86" i="13" s="1"/>
  <c r="O138" i="13"/>
  <c r="I76" i="13"/>
  <c r="O76" i="13"/>
  <c r="O153" i="13"/>
  <c r="Z89" i="13"/>
  <c r="O74" i="13"/>
  <c r="I134" i="13"/>
  <c r="O134" i="13"/>
  <c r="Z75" i="13"/>
  <c r="AB75" i="13" s="1"/>
  <c r="AA179" i="13"/>
  <c r="Z187" i="13"/>
  <c r="Z171" i="13"/>
  <c r="Z155" i="13"/>
  <c r="I177" i="13"/>
  <c r="O177" i="13"/>
  <c r="I161" i="13"/>
  <c r="O161" i="13"/>
  <c r="H185" i="13"/>
  <c r="N185" i="13"/>
  <c r="H169" i="13"/>
  <c r="N169" i="13"/>
  <c r="AA176" i="13"/>
  <c r="AA160" i="13"/>
  <c r="Z182" i="13"/>
  <c r="Z166" i="13"/>
  <c r="I174" i="13"/>
  <c r="O174" i="13"/>
  <c r="I158" i="13"/>
  <c r="O158" i="13"/>
  <c r="Z145" i="13"/>
  <c r="AB145" i="13" s="1"/>
  <c r="Z137" i="13"/>
  <c r="AB137" i="13" s="1"/>
  <c r="Z129" i="13"/>
  <c r="AA123" i="13"/>
  <c r="I148" i="13"/>
  <c r="O148" i="13"/>
  <c r="H140" i="13"/>
  <c r="N140" i="13"/>
  <c r="H132" i="13"/>
  <c r="J132" i="13" s="1"/>
  <c r="N132" i="13"/>
  <c r="H178" i="13"/>
  <c r="J178" i="13" s="1"/>
  <c r="N178" i="13"/>
  <c r="P178" i="13" s="1"/>
  <c r="H162" i="13"/>
  <c r="J162" i="13" s="1"/>
  <c r="N162" i="13"/>
  <c r="I120" i="13"/>
  <c r="O120" i="13"/>
  <c r="I97" i="13"/>
  <c r="J97" i="13" s="1"/>
  <c r="O97" i="13"/>
  <c r="Z125" i="13"/>
  <c r="H108" i="13"/>
  <c r="N108" i="13"/>
  <c r="I94" i="13"/>
  <c r="O94" i="13"/>
  <c r="AA93" i="13"/>
  <c r="Z91" i="13"/>
  <c r="Z83" i="13"/>
  <c r="AA88" i="13"/>
  <c r="AA139" i="13"/>
  <c r="AA134" i="13"/>
  <c r="Q92" i="13"/>
  <c r="R137" i="13"/>
  <c r="Z126" i="13"/>
  <c r="H119" i="13"/>
  <c r="N119" i="13"/>
  <c r="Z102" i="13"/>
  <c r="AA82" i="13"/>
  <c r="AB82" i="13" s="1"/>
  <c r="AA116" i="13"/>
  <c r="Z80" i="13"/>
  <c r="H150" i="13"/>
  <c r="N150" i="13"/>
  <c r="Z120" i="13"/>
  <c r="AA110" i="13"/>
  <c r="O127" i="13"/>
  <c r="Z114" i="13"/>
  <c r="AA85" i="13"/>
  <c r="I114" i="13"/>
  <c r="O114" i="13"/>
  <c r="O143" i="13"/>
  <c r="O125" i="13"/>
  <c r="N103" i="13"/>
  <c r="N95" i="13"/>
  <c r="I85" i="13"/>
  <c r="O85" i="13"/>
  <c r="N123" i="13"/>
  <c r="AA96" i="13"/>
  <c r="N81" i="13"/>
  <c r="AA187" i="13"/>
  <c r="AA163" i="13"/>
  <c r="Z185" i="13"/>
  <c r="Z169" i="13"/>
  <c r="I175" i="13"/>
  <c r="O175" i="13"/>
  <c r="I159" i="13"/>
  <c r="O159" i="13"/>
  <c r="H183" i="13"/>
  <c r="N183" i="13"/>
  <c r="H167" i="13"/>
  <c r="N167" i="13"/>
  <c r="R149" i="13"/>
  <c r="AA174" i="13"/>
  <c r="AA158" i="13"/>
  <c r="Z180" i="13"/>
  <c r="Z164" i="13"/>
  <c r="I188" i="13"/>
  <c r="O188" i="13"/>
  <c r="I172" i="13"/>
  <c r="O172" i="13"/>
  <c r="I156" i="13"/>
  <c r="O156" i="13"/>
  <c r="Z144" i="13"/>
  <c r="Z136" i="13"/>
  <c r="AA121" i="13"/>
  <c r="AB121" i="13" s="1"/>
  <c r="H147" i="13"/>
  <c r="N147" i="13"/>
  <c r="H139" i="13"/>
  <c r="N139" i="13"/>
  <c r="H131" i="13"/>
  <c r="J131" i="13" s="1"/>
  <c r="N131" i="13"/>
  <c r="H176" i="13"/>
  <c r="J176" i="13" s="1"/>
  <c r="N176" i="13"/>
  <c r="H160" i="13"/>
  <c r="J160" i="13" s="1"/>
  <c r="N160" i="13"/>
  <c r="P160" i="13" s="1"/>
  <c r="Z105" i="13"/>
  <c r="I95" i="13"/>
  <c r="J95" i="13" s="1"/>
  <c r="O95" i="13"/>
  <c r="H120" i="13"/>
  <c r="N120" i="13"/>
  <c r="I107" i="13"/>
  <c r="O107" i="13"/>
  <c r="H94" i="13"/>
  <c r="N94" i="13"/>
  <c r="Z106" i="13"/>
  <c r="AB106" i="13" s="1"/>
  <c r="AA91" i="13"/>
  <c r="I88" i="13"/>
  <c r="J88" i="13" s="1"/>
  <c r="O88" i="13"/>
  <c r="Z77" i="13"/>
  <c r="AA131" i="13"/>
  <c r="AA120" i="13"/>
  <c r="AA144" i="13"/>
  <c r="Z96" i="13"/>
  <c r="AA90" i="13"/>
  <c r="N113" i="13"/>
  <c r="H100" i="13"/>
  <c r="N100" i="13"/>
  <c r="I84" i="13"/>
  <c r="O84" i="13"/>
  <c r="AA76" i="13"/>
  <c r="AB76" i="13" s="1"/>
  <c r="AA136" i="13"/>
  <c r="N124" i="13"/>
  <c r="N82" i="13"/>
  <c r="Z93" i="13"/>
  <c r="O149" i="13"/>
  <c r="Z81" i="13"/>
  <c r="O132" i="13"/>
  <c r="AA146" i="13"/>
  <c r="I130" i="13"/>
  <c r="O130" i="13"/>
  <c r="H110" i="13"/>
  <c r="J110" i="13" s="1"/>
  <c r="N110" i="13"/>
  <c r="H74" i="13"/>
  <c r="N74" i="13"/>
  <c r="AA165" i="13"/>
  <c r="AA161" i="13"/>
  <c r="Z153" i="13"/>
  <c r="AA175" i="13"/>
  <c r="AA159" i="13"/>
  <c r="Z183" i="13"/>
  <c r="Z167" i="13"/>
  <c r="AB167" i="13" s="1"/>
  <c r="I173" i="13"/>
  <c r="O173" i="13"/>
  <c r="I157" i="13"/>
  <c r="O157" i="13"/>
  <c r="H181" i="13"/>
  <c r="N181" i="13"/>
  <c r="P181" i="13" s="1"/>
  <c r="H165" i="13"/>
  <c r="J165" i="13" s="1"/>
  <c r="N165" i="13"/>
  <c r="P165" i="13" s="1"/>
  <c r="AA188" i="13"/>
  <c r="AA172" i="13"/>
  <c r="AA156" i="13"/>
  <c r="Z178" i="13"/>
  <c r="Z162" i="13"/>
  <c r="I186" i="13"/>
  <c r="O186" i="13"/>
  <c r="I170" i="13"/>
  <c r="O170" i="13"/>
  <c r="I154" i="13"/>
  <c r="O154" i="13"/>
  <c r="Z143" i="13"/>
  <c r="Z135" i="13"/>
  <c r="AA119" i="13"/>
  <c r="AB119" i="13" s="1"/>
  <c r="H146" i="13"/>
  <c r="N146" i="13"/>
  <c r="H138" i="13"/>
  <c r="N138" i="13"/>
  <c r="P138" i="13" s="1"/>
  <c r="H130" i="13"/>
  <c r="N130" i="13"/>
  <c r="H174" i="13"/>
  <c r="N174" i="13"/>
  <c r="H158" i="13"/>
  <c r="J158" i="13" s="1"/>
  <c r="N158" i="13"/>
  <c r="H112" i="13"/>
  <c r="J112" i="13" s="1"/>
  <c r="N112" i="13"/>
  <c r="I109" i="13"/>
  <c r="O109" i="13"/>
  <c r="I93" i="13"/>
  <c r="J93" i="13" s="1"/>
  <c r="O93" i="13"/>
  <c r="I104" i="13"/>
  <c r="O104" i="13"/>
  <c r="H91" i="13"/>
  <c r="J91" i="13" s="1"/>
  <c r="N91" i="13"/>
  <c r="Q82" i="13"/>
  <c r="AA143" i="13"/>
  <c r="AA133" i="13"/>
  <c r="AA80" i="13"/>
  <c r="AA140" i="13"/>
  <c r="H115" i="13"/>
  <c r="N115" i="13"/>
  <c r="Z84" i="13"/>
  <c r="AB84" i="13" s="1"/>
  <c r="I144" i="13"/>
  <c r="O144" i="13"/>
  <c r="H109" i="13"/>
  <c r="N109" i="13"/>
  <c r="P109" i="13" s="1"/>
  <c r="Z103" i="13"/>
  <c r="O110" i="13"/>
  <c r="I123" i="13"/>
  <c r="O123" i="13"/>
  <c r="N101" i="13"/>
  <c r="N93" i="13"/>
  <c r="I83" i="13"/>
  <c r="O83" i="13"/>
  <c r="O128" i="13"/>
  <c r="O119" i="13"/>
  <c r="AA92" i="13"/>
  <c r="N79" i="13"/>
  <c r="AA181" i="13"/>
  <c r="AA177" i="13"/>
  <c r="AA173" i="13"/>
  <c r="AA157" i="13"/>
  <c r="Z181" i="13"/>
  <c r="AB181" i="13" s="1"/>
  <c r="Z165" i="13"/>
  <c r="I187" i="13"/>
  <c r="O187" i="13"/>
  <c r="I171" i="13"/>
  <c r="O171" i="13"/>
  <c r="I155" i="13"/>
  <c r="O155" i="13"/>
  <c r="H179" i="13"/>
  <c r="J179" i="13" s="1"/>
  <c r="N179" i="13"/>
  <c r="H163" i="13"/>
  <c r="J163" i="13" s="1"/>
  <c r="N163" i="13"/>
  <c r="AA186" i="13"/>
  <c r="AA170" i="13"/>
  <c r="AA154" i="13"/>
  <c r="Z176" i="13"/>
  <c r="Z160" i="13"/>
  <c r="I184" i="13"/>
  <c r="O184" i="13"/>
  <c r="I168" i="13"/>
  <c r="O168" i="13"/>
  <c r="Z142" i="13"/>
  <c r="Z134" i="13"/>
  <c r="AB134" i="13" s="1"/>
  <c r="AA117" i="13"/>
  <c r="AB117" i="13" s="1"/>
  <c r="H145" i="13"/>
  <c r="N145" i="13"/>
  <c r="H137" i="13"/>
  <c r="N137" i="13"/>
  <c r="P137" i="13" s="1"/>
  <c r="H188" i="13"/>
  <c r="J188" i="13" s="1"/>
  <c r="N188" i="13"/>
  <c r="H172" i="13"/>
  <c r="J172" i="13" s="1"/>
  <c r="N172" i="13"/>
  <c r="H156" i="13"/>
  <c r="J156" i="13" s="1"/>
  <c r="N156" i="13"/>
  <c r="H107" i="13"/>
  <c r="N107" i="13"/>
  <c r="P107" i="13" s="1"/>
  <c r="H106" i="13"/>
  <c r="N106" i="13"/>
  <c r="N129" i="13"/>
  <c r="H105" i="13"/>
  <c r="N105" i="13"/>
  <c r="I102" i="13"/>
  <c r="O102" i="13"/>
  <c r="I108" i="13"/>
  <c r="O108" i="13"/>
  <c r="AA87" i="13"/>
  <c r="H83" i="13"/>
  <c r="N83" i="13"/>
  <c r="H84" i="13"/>
  <c r="J84" i="13" s="1"/>
  <c r="N84" i="13"/>
  <c r="Z112" i="13"/>
  <c r="AB112" i="13" s="1"/>
  <c r="AA98" i="13"/>
  <c r="AB98" i="13" s="1"/>
  <c r="AA135" i="13"/>
  <c r="R86" i="13"/>
  <c r="AA129" i="13"/>
  <c r="I133" i="13"/>
  <c r="O133" i="13"/>
  <c r="O124" i="13"/>
  <c r="N111" i="13"/>
  <c r="P111" i="13" s="1"/>
  <c r="N92" i="13"/>
  <c r="I82" i="13"/>
  <c r="J82" i="13" s="1"/>
  <c r="O82" i="13"/>
  <c r="I142" i="13"/>
  <c r="O142" i="13"/>
  <c r="O129" i="13"/>
  <c r="I118" i="13"/>
  <c r="O118" i="13"/>
  <c r="N90" i="13"/>
  <c r="H80" i="13"/>
  <c r="N80" i="13"/>
  <c r="J73" i="13"/>
  <c r="AA81" i="13"/>
  <c r="O147" i="13"/>
  <c r="I121" i="13"/>
  <c r="J121" i="13" s="1"/>
  <c r="O121" i="13"/>
  <c r="I141" i="13"/>
  <c r="O141" i="13"/>
  <c r="I106" i="13"/>
  <c r="O106" i="13"/>
  <c r="N77" i="13"/>
  <c r="P77" i="13" s="1"/>
  <c r="AA171" i="13"/>
  <c r="AA155" i="13"/>
  <c r="Z179" i="13"/>
  <c r="AB179" i="13" s="1"/>
  <c r="Z163" i="13"/>
  <c r="I185" i="13"/>
  <c r="O185" i="13"/>
  <c r="I169" i="13"/>
  <c r="O169" i="13"/>
  <c r="H152" i="13"/>
  <c r="N152" i="13"/>
  <c r="P152" i="13" s="1"/>
  <c r="H177" i="13"/>
  <c r="N177" i="13"/>
  <c r="H161" i="13"/>
  <c r="J161" i="13" s="1"/>
  <c r="N161" i="13"/>
  <c r="AA184" i="13"/>
  <c r="AA168" i="13"/>
  <c r="H153" i="13"/>
  <c r="N153" i="13"/>
  <c r="Z174" i="13"/>
  <c r="AB174" i="13" s="1"/>
  <c r="Z158" i="13"/>
  <c r="AB158" i="13" s="1"/>
  <c r="I182" i="13"/>
  <c r="O182" i="13"/>
  <c r="I166" i="13"/>
  <c r="O166" i="13"/>
  <c r="H148" i="13"/>
  <c r="N148" i="13"/>
  <c r="Z141" i="13"/>
  <c r="AB141" i="13" s="1"/>
  <c r="Z133" i="13"/>
  <c r="I151" i="13"/>
  <c r="O151" i="13"/>
  <c r="AA115" i="13"/>
  <c r="H144" i="13"/>
  <c r="N144" i="13"/>
  <c r="P144" i="13" s="1"/>
  <c r="H136" i="13"/>
  <c r="N136" i="13"/>
  <c r="H186" i="13"/>
  <c r="J186" i="13" s="1"/>
  <c r="N186" i="13"/>
  <c r="H170" i="13"/>
  <c r="N170" i="13"/>
  <c r="P170" i="13" s="1"/>
  <c r="H154" i="13"/>
  <c r="N154" i="13"/>
  <c r="Z108" i="13"/>
  <c r="AB108" i="13" s="1"/>
  <c r="I105" i="13"/>
  <c r="O105" i="13"/>
  <c r="H122" i="13"/>
  <c r="N122" i="13"/>
  <c r="I100" i="13"/>
  <c r="O100" i="13"/>
  <c r="H118" i="13"/>
  <c r="N118" i="13"/>
  <c r="H76" i="13"/>
  <c r="N76" i="13"/>
  <c r="AA83" i="13"/>
  <c r="AA103" i="13"/>
  <c r="R135" i="13"/>
  <c r="AA104" i="13"/>
  <c r="Z79" i="13"/>
  <c r="Q79" i="13" s="1"/>
  <c r="AA109" i="13"/>
  <c r="AB109" i="13" s="1"/>
  <c r="R138" i="13"/>
  <c r="Q111" i="13"/>
  <c r="AA122" i="13"/>
  <c r="AB122" i="13" s="1"/>
  <c r="O113" i="13"/>
  <c r="Z88" i="13"/>
  <c r="AB88" i="13" s="1"/>
  <c r="AA132" i="13"/>
  <c r="I145" i="13"/>
  <c r="O145" i="13"/>
  <c r="I136" i="13"/>
  <c r="O136" i="13"/>
  <c r="O91" i="13"/>
  <c r="N99" i="13"/>
  <c r="I89" i="13"/>
  <c r="J89" i="13" s="1"/>
  <c r="O89" i="13"/>
  <c r="I81" i="13"/>
  <c r="J81" i="13" s="1"/>
  <c r="O81" i="13"/>
  <c r="AA126" i="13"/>
  <c r="O117" i="13"/>
  <c r="N89" i="13"/>
  <c r="Q77" i="13"/>
  <c r="AA169" i="13"/>
  <c r="AA153" i="13"/>
  <c r="Z177" i="13"/>
  <c r="Z161" i="13"/>
  <c r="AB161" i="13" s="1"/>
  <c r="I183" i="13"/>
  <c r="O183" i="13"/>
  <c r="I167" i="13"/>
  <c r="O167" i="13"/>
  <c r="H149" i="13"/>
  <c r="J149" i="13" s="1"/>
  <c r="N149" i="13"/>
  <c r="H175" i="13"/>
  <c r="J175" i="13" s="1"/>
  <c r="N175" i="13"/>
  <c r="H159" i="13"/>
  <c r="N159" i="13"/>
  <c r="AA182" i="13"/>
  <c r="AA166" i="13"/>
  <c r="Z188" i="13"/>
  <c r="AB188" i="13" s="1"/>
  <c r="Z172" i="13"/>
  <c r="Z156" i="13"/>
  <c r="I180" i="13"/>
  <c r="O180" i="13"/>
  <c r="I164" i="13"/>
  <c r="O164" i="13"/>
  <c r="Z140" i="13"/>
  <c r="AB140" i="13" s="1"/>
  <c r="Z132" i="13"/>
  <c r="AA113" i="13"/>
  <c r="AB113" i="13" s="1"/>
  <c r="H143" i="13"/>
  <c r="N143" i="13"/>
  <c r="H135" i="13"/>
  <c r="J135" i="13" s="1"/>
  <c r="N135" i="13"/>
  <c r="H184" i="13"/>
  <c r="N184" i="13"/>
  <c r="H168" i="13"/>
  <c r="N168" i="13"/>
  <c r="I150" i="13"/>
  <c r="O150" i="13"/>
  <c r="I103" i="13"/>
  <c r="J103" i="13" s="1"/>
  <c r="O103" i="13"/>
  <c r="H116" i="13"/>
  <c r="N116" i="13"/>
  <c r="P116" i="13" s="1"/>
  <c r="I98" i="13"/>
  <c r="O98" i="13"/>
  <c r="H98" i="13"/>
  <c r="N98" i="13"/>
  <c r="AA99" i="13"/>
  <c r="AB99" i="13" s="1"/>
  <c r="Z123" i="13"/>
  <c r="H87" i="13"/>
  <c r="J87" i="13" s="1"/>
  <c r="N87" i="13"/>
  <c r="AA78" i="13"/>
  <c r="AA100" i="13"/>
  <c r="AB100" i="13" s="1"/>
  <c r="I139" i="13"/>
  <c r="O139" i="13"/>
  <c r="O135" i="13"/>
  <c r="AA105" i="13"/>
  <c r="O131" i="13"/>
  <c r="I122" i="13"/>
  <c r="O122" i="13"/>
  <c r="I90" i="13"/>
  <c r="J90" i="13" s="1"/>
  <c r="O90" i="13"/>
  <c r="O80" i="13"/>
  <c r="N88" i="13"/>
  <c r="I78" i="13"/>
  <c r="J78" i="13" s="1"/>
  <c r="O78" i="13"/>
  <c r="Z149" i="13"/>
  <c r="AB149" i="13" s="1"/>
  <c r="I140" i="13"/>
  <c r="O140" i="13"/>
  <c r="Z110" i="13"/>
  <c r="Z101" i="13"/>
  <c r="AA79" i="13"/>
  <c r="N127" i="13"/>
  <c r="P127" i="13" s="1"/>
  <c r="AA77" i="13"/>
  <c r="O115" i="13"/>
  <c r="J183" i="13" l="1"/>
  <c r="J180" i="13"/>
  <c r="J141" i="13"/>
  <c r="J155" i="13"/>
  <c r="J187" i="13"/>
  <c r="J166" i="13"/>
  <c r="J134" i="13"/>
  <c r="J173" i="13"/>
  <c r="J102" i="13"/>
  <c r="AB125" i="13"/>
  <c r="P87" i="13"/>
  <c r="P99" i="13"/>
  <c r="P153" i="13"/>
  <c r="P156" i="13"/>
  <c r="P188" i="13"/>
  <c r="AB142" i="13"/>
  <c r="P130" i="13"/>
  <c r="P146" i="13"/>
  <c r="AB178" i="13"/>
  <c r="AB96" i="13"/>
  <c r="AB187" i="13"/>
  <c r="AB132" i="13"/>
  <c r="AB101" i="13"/>
  <c r="P143" i="13"/>
  <c r="P101" i="13"/>
  <c r="P94" i="13"/>
  <c r="AB164" i="13"/>
  <c r="P78" i="13"/>
  <c r="P161" i="13"/>
  <c r="P84" i="13"/>
  <c r="AB165" i="13"/>
  <c r="AB162" i="13"/>
  <c r="P158" i="13"/>
  <c r="AB143" i="13"/>
  <c r="AB153" i="13"/>
  <c r="AB77" i="13"/>
  <c r="AB83" i="13"/>
  <c r="AB168" i="13"/>
  <c r="AB85" i="13"/>
  <c r="AB111" i="13"/>
  <c r="AB172" i="13"/>
  <c r="P159" i="13"/>
  <c r="P163" i="13"/>
  <c r="P79" i="13"/>
  <c r="AB183" i="13"/>
  <c r="AB93" i="13"/>
  <c r="P120" i="13"/>
  <c r="AB120" i="13"/>
  <c r="AB91" i="13"/>
  <c r="P96" i="13"/>
  <c r="AB131" i="13"/>
  <c r="AB159" i="13"/>
  <c r="Q128" i="13"/>
  <c r="S128" i="13" s="1"/>
  <c r="AB80" i="13"/>
  <c r="AB92" i="13"/>
  <c r="P175" i="13"/>
  <c r="P148" i="13"/>
  <c r="P179" i="13"/>
  <c r="P112" i="13"/>
  <c r="AB136" i="13"/>
  <c r="AB156" i="13"/>
  <c r="AB177" i="13"/>
  <c r="P89" i="13"/>
  <c r="AB79" i="13"/>
  <c r="P154" i="13"/>
  <c r="P186" i="13"/>
  <c r="P105" i="13"/>
  <c r="AB160" i="13"/>
  <c r="P93" i="13"/>
  <c r="R74" i="13"/>
  <c r="AB144" i="13"/>
  <c r="AB180" i="13"/>
  <c r="AB169" i="13"/>
  <c r="AB114" i="13"/>
  <c r="AB126" i="13"/>
  <c r="AB166" i="13"/>
  <c r="AB155" i="13"/>
  <c r="AB78" i="13"/>
  <c r="AB146" i="13"/>
  <c r="AB157" i="13"/>
  <c r="AB95" i="13"/>
  <c r="AB139" i="13"/>
  <c r="AB186" i="13"/>
  <c r="AB175" i="13"/>
  <c r="AB115" i="13"/>
  <c r="AB154" i="13"/>
  <c r="P174" i="13"/>
  <c r="AB105" i="13"/>
  <c r="AB184" i="13"/>
  <c r="AB87" i="13"/>
  <c r="AB170" i="13"/>
  <c r="AB110" i="13"/>
  <c r="P184" i="13"/>
  <c r="P149" i="13"/>
  <c r="P76" i="13"/>
  <c r="AB133" i="13"/>
  <c r="P177" i="13"/>
  <c r="AB163" i="13"/>
  <c r="P92" i="13"/>
  <c r="AB176" i="13"/>
  <c r="AB135" i="13"/>
  <c r="AB81" i="13"/>
  <c r="AB185" i="13"/>
  <c r="AB129" i="13"/>
  <c r="AB182" i="13"/>
  <c r="AB171" i="13"/>
  <c r="AB173" i="13"/>
  <c r="AB104" i="13"/>
  <c r="AB116" i="13"/>
  <c r="AB147" i="13"/>
  <c r="AB90" i="13"/>
  <c r="Q103" i="13"/>
  <c r="AB103" i="13"/>
  <c r="Q89" i="13"/>
  <c r="AB89" i="13"/>
  <c r="Q127" i="13"/>
  <c r="AB127" i="13"/>
  <c r="Q102" i="13"/>
  <c r="AB102" i="13"/>
  <c r="Q86" i="13"/>
  <c r="Q123" i="13"/>
  <c r="AB123" i="13"/>
  <c r="Q75" i="13"/>
  <c r="P83" i="13"/>
  <c r="P118" i="13"/>
  <c r="P106" i="13"/>
  <c r="P123" i="13"/>
  <c r="P132" i="13"/>
  <c r="P85" i="13"/>
  <c r="P98" i="13"/>
  <c r="S111" i="13"/>
  <c r="P90" i="13"/>
  <c r="J105" i="13"/>
  <c r="P172" i="13"/>
  <c r="J174" i="13"/>
  <c r="P82" i="13"/>
  <c r="P113" i="13"/>
  <c r="P131" i="13"/>
  <c r="P147" i="13"/>
  <c r="P167" i="13"/>
  <c r="P81" i="13"/>
  <c r="P150" i="13"/>
  <c r="J108" i="13"/>
  <c r="P140" i="13"/>
  <c r="P169" i="13"/>
  <c r="P104" i="13"/>
  <c r="J96" i="13"/>
  <c r="S127" i="13"/>
  <c r="P164" i="13"/>
  <c r="P133" i="13"/>
  <c r="P171" i="13"/>
  <c r="P114" i="13"/>
  <c r="P182" i="13"/>
  <c r="P142" i="13"/>
  <c r="P157" i="13"/>
  <c r="P121" i="13"/>
  <c r="P91" i="13"/>
  <c r="P110" i="13"/>
  <c r="P108" i="13"/>
  <c r="J185" i="13"/>
  <c r="J151" i="13"/>
  <c r="J184" i="13"/>
  <c r="P136" i="13"/>
  <c r="J177" i="13"/>
  <c r="P129" i="13"/>
  <c r="J107" i="13"/>
  <c r="J181" i="13"/>
  <c r="P74" i="13"/>
  <c r="P124" i="13"/>
  <c r="J167" i="13"/>
  <c r="P95" i="13"/>
  <c r="J140" i="13"/>
  <c r="J169" i="13"/>
  <c r="J104" i="13"/>
  <c r="J164" i="13"/>
  <c r="J133" i="13"/>
  <c r="J171" i="13"/>
  <c r="J114" i="13"/>
  <c r="J182" i="13"/>
  <c r="J142" i="13"/>
  <c r="J157" i="13"/>
  <c r="S124" i="13"/>
  <c r="P128" i="13"/>
  <c r="J123" i="13"/>
  <c r="S86" i="13"/>
  <c r="P88" i="13"/>
  <c r="P168" i="13"/>
  <c r="P135" i="13"/>
  <c r="P122" i="13"/>
  <c r="P80" i="13"/>
  <c r="P145" i="13"/>
  <c r="P115" i="13"/>
  <c r="P100" i="13"/>
  <c r="P176" i="13"/>
  <c r="P139" i="13"/>
  <c r="P183" i="13"/>
  <c r="P103" i="13"/>
  <c r="P119" i="13"/>
  <c r="P162" i="13"/>
  <c r="P185" i="13"/>
  <c r="P102" i="13"/>
  <c r="P180" i="13"/>
  <c r="P141" i="13"/>
  <c r="P155" i="13"/>
  <c r="P187" i="13"/>
  <c r="P125" i="13"/>
  <c r="P97" i="13"/>
  <c r="P166" i="13"/>
  <c r="P134" i="13"/>
  <c r="P173" i="13"/>
  <c r="P151" i="13"/>
  <c r="P117" i="13"/>
  <c r="Q136" i="13"/>
  <c r="J136" i="13"/>
  <c r="Q146" i="13"/>
  <c r="J146" i="13"/>
  <c r="Q74" i="13"/>
  <c r="S74" i="13" s="1"/>
  <c r="J74" i="13"/>
  <c r="Q168" i="13"/>
  <c r="J168" i="13"/>
  <c r="Q118" i="13"/>
  <c r="J118" i="13"/>
  <c r="Q122" i="13"/>
  <c r="J122" i="13"/>
  <c r="Q148" i="13"/>
  <c r="J148" i="13"/>
  <c r="Q153" i="13"/>
  <c r="J153" i="13"/>
  <c r="Q152" i="13"/>
  <c r="S152" i="13" s="1"/>
  <c r="J152" i="13"/>
  <c r="Q80" i="13"/>
  <c r="J80" i="13"/>
  <c r="Q145" i="13"/>
  <c r="J145" i="13"/>
  <c r="Q115" i="13"/>
  <c r="J115" i="13"/>
  <c r="Q100" i="13"/>
  <c r="J100" i="13"/>
  <c r="Q139" i="13"/>
  <c r="J139" i="13"/>
  <c r="Q119" i="13"/>
  <c r="J119" i="13"/>
  <c r="Q170" i="13"/>
  <c r="J170" i="13"/>
  <c r="Q109" i="13"/>
  <c r="J109" i="13"/>
  <c r="Q154" i="13"/>
  <c r="J154" i="13"/>
  <c r="Q144" i="13"/>
  <c r="J144" i="13"/>
  <c r="Q138" i="13"/>
  <c r="S138" i="13" s="1"/>
  <c r="J138" i="13"/>
  <c r="Q94" i="13"/>
  <c r="J94" i="13"/>
  <c r="Q120" i="13"/>
  <c r="J120" i="13"/>
  <c r="Q85" i="13"/>
  <c r="J85" i="13"/>
  <c r="Q130" i="13"/>
  <c r="J130" i="13"/>
  <c r="Q98" i="13"/>
  <c r="J98" i="13"/>
  <c r="Q116" i="13"/>
  <c r="J116" i="13"/>
  <c r="Q143" i="13"/>
  <c r="J143" i="13"/>
  <c r="Q159" i="13"/>
  <c r="J159" i="13"/>
  <c r="Q76" i="13"/>
  <c r="J76" i="13"/>
  <c r="Q83" i="13"/>
  <c r="J83" i="13"/>
  <c r="Q137" i="13"/>
  <c r="S137" i="13" s="1"/>
  <c r="J137" i="13"/>
  <c r="Q147" i="13"/>
  <c r="S147" i="13" s="1"/>
  <c r="J147" i="13"/>
  <c r="Q150" i="13"/>
  <c r="J150" i="13"/>
  <c r="Y30" i="13"/>
  <c r="Q106" i="13"/>
  <c r="J106" i="13"/>
  <c r="Q105" i="13"/>
  <c r="A24" i="24"/>
  <c r="X31" i="13"/>
  <c r="AF31" i="13"/>
  <c r="T32" i="13"/>
  <c r="U32" i="13"/>
  <c r="V31" i="13"/>
  <c r="W31" i="13"/>
  <c r="A32" i="2"/>
  <c r="A22" i="16"/>
  <c r="B31" i="33"/>
  <c r="E39" i="33"/>
  <c r="D40" i="33"/>
  <c r="F39" i="33"/>
  <c r="F40" i="33" s="1"/>
  <c r="Q175" i="13"/>
  <c r="Q129" i="13"/>
  <c r="Q91" i="13"/>
  <c r="Q104" i="13"/>
  <c r="Q184" i="13"/>
  <c r="R125" i="13"/>
  <c r="R143" i="13"/>
  <c r="Q131" i="13"/>
  <c r="R126" i="13"/>
  <c r="Q135" i="13"/>
  <c r="S135" i="13" s="1"/>
  <c r="Q87" i="13"/>
  <c r="Q186" i="13"/>
  <c r="Q84" i="13"/>
  <c r="Q107" i="13"/>
  <c r="R90" i="13"/>
  <c r="S90" i="13" s="1"/>
  <c r="R150" i="13"/>
  <c r="R151" i="13"/>
  <c r="R169" i="13"/>
  <c r="R106" i="13"/>
  <c r="R102" i="13"/>
  <c r="S102" i="13" s="1"/>
  <c r="R184" i="13"/>
  <c r="Q179" i="13"/>
  <c r="R144" i="13"/>
  <c r="Q88" i="13"/>
  <c r="R130" i="13"/>
  <c r="R107" i="13"/>
  <c r="R172" i="13"/>
  <c r="Q167" i="13"/>
  <c r="R85" i="13"/>
  <c r="R94" i="13"/>
  <c r="R158" i="13"/>
  <c r="Q185" i="13"/>
  <c r="Q164" i="13"/>
  <c r="R176" i="13"/>
  <c r="Q125" i="13"/>
  <c r="S125" i="13" s="1"/>
  <c r="R101" i="13"/>
  <c r="R78" i="13"/>
  <c r="S78" i="13" s="1"/>
  <c r="R81" i="13"/>
  <c r="R145" i="13"/>
  <c r="R100" i="13"/>
  <c r="R133" i="13"/>
  <c r="R104" i="13"/>
  <c r="Q112" i="13"/>
  <c r="R170" i="13"/>
  <c r="Q165" i="13"/>
  <c r="R120" i="13"/>
  <c r="Q140" i="13"/>
  <c r="Q171" i="13"/>
  <c r="R92" i="13"/>
  <c r="S92" i="13" s="1"/>
  <c r="R116" i="13"/>
  <c r="Q101" i="13"/>
  <c r="Q134" i="13"/>
  <c r="R165" i="13"/>
  <c r="R122" i="13"/>
  <c r="Q149" i="13"/>
  <c r="S149" i="13" s="1"/>
  <c r="R166" i="13"/>
  <c r="Q161" i="13"/>
  <c r="R185" i="13"/>
  <c r="R141" i="13"/>
  <c r="R142" i="13"/>
  <c r="R82" i="13"/>
  <c r="S82" i="13" s="1"/>
  <c r="Q156" i="13"/>
  <c r="R155" i="13"/>
  <c r="R115" i="13"/>
  <c r="R188" i="13"/>
  <c r="Q183" i="13"/>
  <c r="Q108" i="13"/>
  <c r="R174" i="13"/>
  <c r="R161" i="13"/>
  <c r="R129" i="13"/>
  <c r="R132" i="13"/>
  <c r="Q180" i="13"/>
  <c r="R153" i="13"/>
  <c r="R91" i="13"/>
  <c r="R162" i="13"/>
  <c r="R89" i="13"/>
  <c r="S89" i="13" s="1"/>
  <c r="Q158" i="13"/>
  <c r="R186" i="13"/>
  <c r="Q181" i="13"/>
  <c r="Q160" i="13"/>
  <c r="Q162" i="13"/>
  <c r="R148" i="13"/>
  <c r="Q96" i="13"/>
  <c r="Q187" i="13"/>
  <c r="R112" i="13"/>
  <c r="Q114" i="13"/>
  <c r="Q142" i="13"/>
  <c r="Q157" i="13"/>
  <c r="R181" i="13"/>
  <c r="Q151" i="13"/>
  <c r="R167" i="13"/>
  <c r="R182" i="13"/>
  <c r="Q177" i="13"/>
  <c r="Q172" i="13"/>
  <c r="R171" i="13"/>
  <c r="R123" i="13"/>
  <c r="S123" i="13" s="1"/>
  <c r="R87" i="13"/>
  <c r="R80" i="13"/>
  <c r="R95" i="13"/>
  <c r="R159" i="13"/>
  <c r="R177" i="13"/>
  <c r="R134" i="13"/>
  <c r="Q126" i="13"/>
  <c r="R99" i="13"/>
  <c r="S99" i="13" s="1"/>
  <c r="Q133" i="13"/>
  <c r="S133" i="13" s="1"/>
  <c r="R146" i="13"/>
  <c r="R131" i="13"/>
  <c r="R178" i="13"/>
  <c r="R103" i="13"/>
  <c r="S103" i="13" s="1"/>
  <c r="R164" i="13"/>
  <c r="R77" i="13"/>
  <c r="S77" i="13" s="1"/>
  <c r="R121" i="13"/>
  <c r="S121" i="13" s="1"/>
  <c r="R93" i="13"/>
  <c r="Q174" i="13"/>
  <c r="R157" i="13"/>
  <c r="R119" i="13"/>
  <c r="Q176" i="13"/>
  <c r="S176" i="13" s="1"/>
  <c r="Q178" i="13"/>
  <c r="R76" i="13"/>
  <c r="R96" i="13"/>
  <c r="R163" i="13"/>
  <c r="R75" i="13"/>
  <c r="Q166" i="13"/>
  <c r="Q173" i="13"/>
  <c r="R140" i="13"/>
  <c r="R139" i="13"/>
  <c r="R183" i="13"/>
  <c r="R108" i="13"/>
  <c r="Q188" i="13"/>
  <c r="S188" i="13" s="1"/>
  <c r="R168" i="13"/>
  <c r="Q163" i="13"/>
  <c r="R187" i="13"/>
  <c r="R83" i="13"/>
  <c r="R113" i="13"/>
  <c r="S113" i="13" s="1"/>
  <c r="Q110" i="13"/>
  <c r="R79" i="13"/>
  <c r="S79" i="13" s="1"/>
  <c r="R156" i="13"/>
  <c r="R175" i="13"/>
  <c r="Q93" i="13"/>
  <c r="Q169" i="13"/>
  <c r="S169" i="13" s="1"/>
  <c r="R110" i="13"/>
  <c r="Q141" i="13"/>
  <c r="R160" i="13"/>
  <c r="R98" i="13"/>
  <c r="R180" i="13"/>
  <c r="R136" i="13"/>
  <c r="R105" i="13"/>
  <c r="R118" i="13"/>
  <c r="R109" i="13"/>
  <c r="R154" i="13"/>
  <c r="R173" i="13"/>
  <c r="R84" i="13"/>
  <c r="Q81" i="13"/>
  <c r="S81" i="13" s="1"/>
  <c r="R88" i="13"/>
  <c r="R114" i="13"/>
  <c r="R97" i="13"/>
  <c r="S97" i="13" s="1"/>
  <c r="Q132" i="13"/>
  <c r="Q155" i="13"/>
  <c r="R179" i="13"/>
  <c r="R117" i="13"/>
  <c r="S117" i="13" s="1"/>
  <c r="Q95" i="13"/>
  <c r="Q182" i="13"/>
  <c r="S75" i="13" l="1"/>
  <c r="S173" i="13"/>
  <c r="S157" i="13"/>
  <c r="S171" i="13"/>
  <c r="S185" i="13"/>
  <c r="S106" i="13"/>
  <c r="S155" i="13"/>
  <c r="S141" i="13"/>
  <c r="S172" i="13"/>
  <c r="S95" i="13"/>
  <c r="S132" i="13"/>
  <c r="S158" i="13"/>
  <c r="S160" i="13"/>
  <c r="S180" i="13"/>
  <c r="S134" i="13"/>
  <c r="S167" i="13"/>
  <c r="S88" i="13"/>
  <c r="S186" i="13"/>
  <c r="S131" i="13"/>
  <c r="S104" i="13"/>
  <c r="S93" i="13"/>
  <c r="S110" i="13"/>
  <c r="S163" i="13"/>
  <c r="S126" i="13"/>
  <c r="S181" i="13"/>
  <c r="S151" i="13"/>
  <c r="S166" i="13"/>
  <c r="S142" i="13"/>
  <c r="S96" i="13"/>
  <c r="S108" i="13"/>
  <c r="S101" i="13"/>
  <c r="S140" i="13"/>
  <c r="S112" i="13"/>
  <c r="S87" i="13"/>
  <c r="S91" i="13"/>
  <c r="S83" i="13"/>
  <c r="S159" i="13"/>
  <c r="S116" i="13"/>
  <c r="S130" i="13"/>
  <c r="S120" i="13"/>
  <c r="S154" i="13"/>
  <c r="S170" i="13"/>
  <c r="S139" i="13"/>
  <c r="S115" i="13"/>
  <c r="S80" i="13"/>
  <c r="S153" i="13"/>
  <c r="S122" i="13"/>
  <c r="S168" i="13"/>
  <c r="S146" i="13"/>
  <c r="S182" i="13"/>
  <c r="S178" i="13"/>
  <c r="S174" i="13"/>
  <c r="S114" i="13"/>
  <c r="S183" i="13"/>
  <c r="S156" i="13"/>
  <c r="S179" i="13"/>
  <c r="S107" i="13"/>
  <c r="S129" i="13"/>
  <c r="S105" i="13"/>
  <c r="S187" i="13"/>
  <c r="S177" i="13"/>
  <c r="S162" i="13"/>
  <c r="S161" i="13"/>
  <c r="S165" i="13"/>
  <c r="S164" i="13"/>
  <c r="S84" i="13"/>
  <c r="S184" i="13"/>
  <c r="S175" i="13"/>
  <c r="S150" i="13"/>
  <c r="S76" i="13"/>
  <c r="S143" i="13"/>
  <c r="S98" i="13"/>
  <c r="S85" i="13"/>
  <c r="S94" i="13"/>
  <c r="S144" i="13"/>
  <c r="S109" i="13"/>
  <c r="S119" i="13"/>
  <c r="S100" i="13"/>
  <c r="S145" i="13"/>
  <c r="S148" i="13"/>
  <c r="S118" i="13"/>
  <c r="S136" i="13"/>
  <c r="A25" i="24"/>
  <c r="Y31" i="13"/>
  <c r="X32" i="13"/>
  <c r="AF32" i="13"/>
  <c r="T33" i="13"/>
  <c r="U33" i="13"/>
  <c r="V32" i="13"/>
  <c r="W32" i="13"/>
  <c r="A33" i="2"/>
  <c r="A23" i="16"/>
  <c r="B32" i="33"/>
  <c r="E40" i="33"/>
  <c r="D41" i="33"/>
  <c r="Y32" i="13" l="1"/>
  <c r="A26" i="24"/>
  <c r="X33" i="13"/>
  <c r="AF33" i="13"/>
  <c r="T34" i="13"/>
  <c r="W33" i="13"/>
  <c r="V33" i="13"/>
  <c r="U34" i="13"/>
  <c r="A34" i="2"/>
  <c r="A24" i="16"/>
  <c r="B33" i="33"/>
  <c r="E41" i="33"/>
  <c r="D42" i="33"/>
  <c r="F41" i="33"/>
  <c r="D5" i="7"/>
  <c r="A27" i="24" l="1"/>
  <c r="Y33" i="13"/>
  <c r="X34" i="13"/>
  <c r="AF34" i="13"/>
  <c r="V34" i="13"/>
  <c r="W34" i="13"/>
  <c r="T35" i="13"/>
  <c r="U35" i="13"/>
  <c r="A35" i="2"/>
  <c r="A25" i="16"/>
  <c r="F42" i="33"/>
  <c r="B34" i="33"/>
  <c r="E42" i="33"/>
  <c r="D43" i="33"/>
  <c r="Y34" i="13" l="1"/>
  <c r="A28" i="24"/>
  <c r="X35" i="13"/>
  <c r="AF35" i="13"/>
  <c r="V35" i="13"/>
  <c r="W35" i="13"/>
  <c r="U36" i="13"/>
  <c r="T36" i="13"/>
  <c r="A36" i="2"/>
  <c r="A26" i="16"/>
  <c r="B35" i="33"/>
  <c r="E43" i="33"/>
  <c r="F43" i="33"/>
  <c r="F44" i="33" s="1"/>
  <c r="F45" i="33" s="1"/>
  <c r="F46" i="33" s="1"/>
  <c r="F47" i="33" s="1"/>
  <c r="F48" i="33" s="1"/>
  <c r="F49" i="33" s="1"/>
  <c r="F50" i="33" s="1"/>
  <c r="F51" i="33" s="1"/>
  <c r="F52" i="33" s="1"/>
  <c r="F53" i="33" s="1"/>
  <c r="F54" i="33" s="1"/>
  <c r="F55" i="33" s="1"/>
  <c r="F56" i="33" s="1"/>
  <c r="F57" i="33" s="1"/>
  <c r="F58" i="33" s="1"/>
  <c r="F59" i="33" s="1"/>
  <c r="F60" i="33" s="1"/>
  <c r="F61" i="33" s="1"/>
  <c r="F62" i="33" s="1"/>
  <c r="F63" i="33" s="1"/>
  <c r="F64" i="33" s="1"/>
  <c r="F65" i="33" s="1"/>
  <c r="F66" i="33" s="1"/>
  <c r="F67" i="33" s="1"/>
  <c r="F68" i="33" s="1"/>
  <c r="F69" i="33" s="1"/>
  <c r="F70" i="33" s="1"/>
  <c r="F71" i="33" s="1"/>
  <c r="F72" i="33" s="1"/>
  <c r="F73" i="33" s="1"/>
  <c r="F74" i="33" s="1"/>
  <c r="F75" i="33" s="1"/>
  <c r="F76" i="33" s="1"/>
  <c r="F77" i="33" s="1"/>
  <c r="F78" i="33" s="1"/>
  <c r="F79" i="33" s="1"/>
  <c r="F80" i="33" s="1"/>
  <c r="F81" i="33" s="1"/>
  <c r="F82" i="33" s="1"/>
  <c r="F83" i="33" s="1"/>
  <c r="F84" i="33" s="1"/>
  <c r="F85" i="33" s="1"/>
  <c r="F86" i="33" s="1"/>
  <c r="F87" i="33" s="1"/>
  <c r="F88" i="33" s="1"/>
  <c r="F89" i="33" s="1"/>
  <c r="F90" i="33" s="1"/>
  <c r="F91" i="33" s="1"/>
  <c r="F92" i="33" s="1"/>
  <c r="F93" i="33" s="1"/>
  <c r="F94" i="33" s="1"/>
  <c r="F95" i="33" s="1"/>
  <c r="F96" i="33" s="1"/>
  <c r="F97" i="33" s="1"/>
  <c r="F98" i="33" s="1"/>
  <c r="F99" i="33" s="1"/>
  <c r="F100" i="33" s="1"/>
  <c r="F101" i="33" s="1"/>
  <c r="F102" i="33" s="1"/>
  <c r="F103" i="33" s="1"/>
  <c r="F104" i="33" s="1"/>
  <c r="F105" i="33" s="1"/>
  <c r="F106" i="33" s="1"/>
  <c r="F107" i="33" s="1"/>
  <c r="F108" i="33" s="1"/>
  <c r="F109" i="33" s="1"/>
  <c r="F110" i="33" s="1"/>
  <c r="F111" i="33" s="1"/>
  <c r="F112" i="33" s="1"/>
  <c r="F113" i="33" s="1"/>
  <c r="F114" i="33" s="1"/>
  <c r="F115" i="33" s="1"/>
  <c r="F116" i="33" s="1"/>
  <c r="F117" i="33" s="1"/>
  <c r="F118" i="33" s="1"/>
  <c r="F119" i="33" s="1"/>
  <c r="F120" i="33" s="1"/>
  <c r="F121" i="33" s="1"/>
  <c r="F122" i="33" s="1"/>
  <c r="F123" i="33" s="1"/>
  <c r="F124" i="33" s="1"/>
  <c r="F125" i="33" s="1"/>
  <c r="F126" i="33" s="1"/>
  <c r="F127" i="33" s="1"/>
  <c r="F128" i="33" s="1"/>
  <c r="F129" i="33" s="1"/>
  <c r="F130" i="33" s="1"/>
  <c r="F131" i="33" s="1"/>
  <c r="F132" i="33" s="1"/>
  <c r="F133" i="33" s="1"/>
  <c r="F134" i="33" s="1"/>
  <c r="F135" i="33" s="1"/>
  <c r="F136" i="33" s="1"/>
  <c r="F137" i="33" s="1"/>
  <c r="F138" i="33" s="1"/>
  <c r="F139" i="33" s="1"/>
  <c r="F140" i="33" s="1"/>
  <c r="F141" i="33" s="1"/>
  <c r="F142" i="33" s="1"/>
  <c r="F143" i="33" s="1"/>
  <c r="F144" i="33" s="1"/>
  <c r="F145" i="33" s="1"/>
  <c r="F146" i="33" s="1"/>
  <c r="F147" i="33" s="1"/>
  <c r="F148" i="33" s="1"/>
  <c r="F149" i="33" s="1"/>
  <c r="F150" i="33" s="1"/>
  <c r="F151" i="33" s="1"/>
  <c r="F152" i="33" s="1"/>
  <c r="F153" i="33" s="1"/>
  <c r="F154" i="33" s="1"/>
  <c r="F155" i="33" s="1"/>
  <c r="F156" i="33" s="1"/>
  <c r="F157" i="33" s="1"/>
  <c r="F158" i="33" s="1"/>
  <c r="F159" i="33" s="1"/>
  <c r="F160" i="33" s="1"/>
  <c r="F161" i="33" s="1"/>
  <c r="F162" i="33" s="1"/>
  <c r="F163" i="33" s="1"/>
  <c r="F164" i="33" s="1"/>
  <c r="F165" i="33" s="1"/>
  <c r="F166" i="33" s="1"/>
  <c r="F167" i="33" s="1"/>
  <c r="F168" i="33" s="1"/>
  <c r="F169" i="33" s="1"/>
  <c r="F170" i="33" s="1"/>
  <c r="F171" i="33" s="1"/>
  <c r="F172" i="33" s="1"/>
  <c r="F173" i="33" s="1"/>
  <c r="F174" i="33" s="1"/>
  <c r="F175" i="33" s="1"/>
  <c r="F176" i="33" s="1"/>
  <c r="F177" i="33" s="1"/>
  <c r="F178" i="33" s="1"/>
  <c r="F179" i="33" s="1"/>
  <c r="F180" i="33" s="1"/>
  <c r="F181" i="33" s="1"/>
  <c r="F182" i="33" s="1"/>
  <c r="F183" i="33" s="1"/>
  <c r="B2" i="7"/>
  <c r="B10" i="7" s="1"/>
  <c r="H3" i="8" l="1"/>
  <c r="R3" i="8" s="1"/>
  <c r="Y35" i="13"/>
  <c r="A29" i="24"/>
  <c r="X36" i="13"/>
  <c r="AF36" i="13"/>
  <c r="T37" i="13"/>
  <c r="U37" i="13"/>
  <c r="V36" i="13"/>
  <c r="W36" i="13"/>
  <c r="A37" i="2"/>
  <c r="A27" i="16"/>
  <c r="B36" i="33"/>
  <c r="B1" i="15"/>
  <c r="B10" i="15" s="1"/>
  <c r="B1" i="23"/>
  <c r="B10" i="23" s="1"/>
  <c r="A30" i="24" l="1"/>
  <c r="B30" i="25" s="1"/>
  <c r="Y36" i="13"/>
  <c r="X37" i="13"/>
  <c r="AF37" i="13"/>
  <c r="T38" i="13"/>
  <c r="U38" i="13"/>
  <c r="W37" i="13"/>
  <c r="V37" i="13"/>
  <c r="I3" i="8"/>
  <c r="B5" i="46" s="1"/>
  <c r="D5" i="46" s="1"/>
  <c r="B3" i="8"/>
  <c r="I4" i="8"/>
  <c r="G4" i="8" s="1"/>
  <c r="B4" i="8"/>
  <c r="B5" i="8"/>
  <c r="I5" i="8"/>
  <c r="G5" i="8" s="1"/>
  <c r="B6" i="8"/>
  <c r="I6" i="8"/>
  <c r="G6" i="8" s="1"/>
  <c r="I7" i="8"/>
  <c r="G7" i="8" s="1"/>
  <c r="B7" i="8"/>
  <c r="I8" i="8"/>
  <c r="G8" i="8" s="1"/>
  <c r="B8" i="8"/>
  <c r="B9" i="8"/>
  <c r="I9" i="8"/>
  <c r="G9" i="8" s="1"/>
  <c r="I10" i="8"/>
  <c r="G10" i="8" s="1"/>
  <c r="B10" i="8"/>
  <c r="I11" i="8"/>
  <c r="G11" i="8" s="1"/>
  <c r="B11" i="8"/>
  <c r="I12" i="8"/>
  <c r="G12" i="8" s="1"/>
  <c r="B12" i="8"/>
  <c r="I13" i="8"/>
  <c r="G13" i="8" s="1"/>
  <c r="B13" i="8"/>
  <c r="I14" i="8"/>
  <c r="G14" i="8" s="1"/>
  <c r="B14" i="8"/>
  <c r="I15" i="8"/>
  <c r="G15" i="8" s="1"/>
  <c r="B15" i="8"/>
  <c r="B16" i="8"/>
  <c r="I16" i="8"/>
  <c r="G16" i="8" s="1"/>
  <c r="B17" i="8"/>
  <c r="I17" i="8"/>
  <c r="G17" i="8" s="1"/>
  <c r="I18" i="8"/>
  <c r="G18" i="8" s="1"/>
  <c r="B18" i="8"/>
  <c r="I19" i="8"/>
  <c r="G19" i="8" s="1"/>
  <c r="B19" i="8"/>
  <c r="I20" i="8"/>
  <c r="G20" i="8" s="1"/>
  <c r="B20" i="8"/>
  <c r="I21" i="8"/>
  <c r="G21" i="8" s="1"/>
  <c r="B21" i="8"/>
  <c r="B22" i="8"/>
  <c r="I22" i="8"/>
  <c r="G22" i="8" s="1"/>
  <c r="B23" i="8"/>
  <c r="I23" i="8"/>
  <c r="G23" i="8" s="1"/>
  <c r="B24" i="8"/>
  <c r="I24" i="8"/>
  <c r="G24" i="8" s="1"/>
  <c r="B25" i="8"/>
  <c r="I25" i="8"/>
  <c r="G25" i="8" s="1"/>
  <c r="B26" i="8"/>
  <c r="I26" i="8"/>
  <c r="G26" i="8" s="1"/>
  <c r="I27" i="8"/>
  <c r="G27" i="8" s="1"/>
  <c r="B27" i="8"/>
  <c r="I28" i="8"/>
  <c r="G28" i="8" s="1"/>
  <c r="B28" i="8"/>
  <c r="B29" i="8"/>
  <c r="I29" i="8"/>
  <c r="G29" i="8" s="1"/>
  <c r="B30" i="8"/>
  <c r="I30" i="8"/>
  <c r="G30" i="8" s="1"/>
  <c r="B31" i="8"/>
  <c r="I31" i="8"/>
  <c r="G31" i="8" s="1"/>
  <c r="I32" i="8"/>
  <c r="G32" i="8" s="1"/>
  <c r="B32" i="8"/>
  <c r="I33" i="8"/>
  <c r="G33" i="8" s="1"/>
  <c r="B33" i="8"/>
  <c r="I34" i="8"/>
  <c r="G34" i="8" s="1"/>
  <c r="B34" i="8"/>
  <c r="I35" i="8"/>
  <c r="G35" i="8" s="1"/>
  <c r="B35" i="8"/>
  <c r="I37" i="8"/>
  <c r="G37" i="8" s="1"/>
  <c r="B37" i="8"/>
  <c r="A38" i="2"/>
  <c r="B36" i="8"/>
  <c r="I36" i="8"/>
  <c r="G36" i="8" s="1"/>
  <c r="I10" i="17"/>
  <c r="G10" i="17" s="1"/>
  <c r="I18" i="17"/>
  <c r="G18" i="17" s="1"/>
  <c r="I26" i="17"/>
  <c r="G26" i="17" s="1"/>
  <c r="I11" i="17"/>
  <c r="G11" i="17" s="1"/>
  <c r="I19" i="17"/>
  <c r="G19" i="17" s="1"/>
  <c r="I27" i="17"/>
  <c r="G27" i="17" s="1"/>
  <c r="I4" i="17"/>
  <c r="G4" i="17" s="1"/>
  <c r="I12" i="17"/>
  <c r="G12" i="17" s="1"/>
  <c r="I20" i="17"/>
  <c r="G20" i="17" s="1"/>
  <c r="I5" i="17"/>
  <c r="G5" i="17" s="1"/>
  <c r="I13" i="17"/>
  <c r="G13" i="17" s="1"/>
  <c r="I21" i="17"/>
  <c r="G21" i="17" s="1"/>
  <c r="B9" i="17"/>
  <c r="B17" i="17"/>
  <c r="B25" i="17"/>
  <c r="I6" i="17"/>
  <c r="G6" i="17" s="1"/>
  <c r="I14" i="17"/>
  <c r="G14" i="17" s="1"/>
  <c r="I22" i="17"/>
  <c r="G22" i="17" s="1"/>
  <c r="B10" i="17"/>
  <c r="B18" i="17"/>
  <c r="B26" i="17"/>
  <c r="I7" i="17"/>
  <c r="G7" i="17" s="1"/>
  <c r="I15" i="17"/>
  <c r="G15" i="17" s="1"/>
  <c r="I23" i="17"/>
  <c r="G23" i="17" s="1"/>
  <c r="I9" i="17"/>
  <c r="G9" i="17" s="1"/>
  <c r="I17" i="17"/>
  <c r="G17" i="17" s="1"/>
  <c r="I25" i="17"/>
  <c r="G25" i="17" s="1"/>
  <c r="B5" i="17"/>
  <c r="B13" i="17"/>
  <c r="B21" i="17"/>
  <c r="B12" i="17"/>
  <c r="B24" i="17"/>
  <c r="B11" i="17"/>
  <c r="I8" i="17"/>
  <c r="G8" i="17" s="1"/>
  <c r="B14" i="17"/>
  <c r="B27" i="17"/>
  <c r="B23" i="17"/>
  <c r="I16" i="17"/>
  <c r="G16" i="17" s="1"/>
  <c r="B15" i="17"/>
  <c r="I24" i="17"/>
  <c r="G24" i="17" s="1"/>
  <c r="B4" i="17"/>
  <c r="B16" i="17"/>
  <c r="B6" i="17"/>
  <c r="B19" i="17"/>
  <c r="I3" i="17"/>
  <c r="C5" i="47" s="1"/>
  <c r="D5" i="47" s="1"/>
  <c r="B7" i="17"/>
  <c r="B20" i="17"/>
  <c r="B3" i="17"/>
  <c r="B8" i="17"/>
  <c r="B22" i="17"/>
  <c r="I9" i="25"/>
  <c r="G9" i="25" s="1"/>
  <c r="I17" i="25"/>
  <c r="G17" i="25" s="1"/>
  <c r="I25" i="25"/>
  <c r="G25" i="25" s="1"/>
  <c r="I6" i="25"/>
  <c r="G6" i="25" s="1"/>
  <c r="I14" i="25"/>
  <c r="G14" i="25" s="1"/>
  <c r="I22" i="25"/>
  <c r="G22" i="25" s="1"/>
  <c r="I11" i="25"/>
  <c r="G11" i="25" s="1"/>
  <c r="I19" i="25"/>
  <c r="G19" i="25" s="1"/>
  <c r="I27" i="25"/>
  <c r="G27" i="25" s="1"/>
  <c r="I8" i="25"/>
  <c r="G8" i="25" s="1"/>
  <c r="I16" i="25"/>
  <c r="G16" i="25" s="1"/>
  <c r="I24" i="25"/>
  <c r="G24" i="25" s="1"/>
  <c r="I5" i="25"/>
  <c r="G5" i="25" s="1"/>
  <c r="I13" i="25"/>
  <c r="G13" i="25" s="1"/>
  <c r="I21" i="25"/>
  <c r="G21" i="25" s="1"/>
  <c r="I29" i="25"/>
  <c r="G29" i="25" s="1"/>
  <c r="I10" i="25"/>
  <c r="G10" i="25" s="1"/>
  <c r="I18" i="25"/>
  <c r="G18" i="25" s="1"/>
  <c r="I26" i="25"/>
  <c r="G26" i="25" s="1"/>
  <c r="I7" i="25"/>
  <c r="G7" i="25" s="1"/>
  <c r="I15" i="25"/>
  <c r="G15" i="25" s="1"/>
  <c r="I23" i="25"/>
  <c r="G23" i="25" s="1"/>
  <c r="I20" i="25"/>
  <c r="G20" i="25" s="1"/>
  <c r="I12" i="25"/>
  <c r="G12" i="25" s="1"/>
  <c r="I3" i="25"/>
  <c r="C5" i="48" s="1"/>
  <c r="D5" i="48" s="1"/>
  <c r="I28" i="25"/>
  <c r="G28" i="25" s="1"/>
  <c r="I4" i="25"/>
  <c r="G4" i="25" s="1"/>
  <c r="B11" i="25"/>
  <c r="B19" i="25"/>
  <c r="B27" i="25"/>
  <c r="B5" i="25"/>
  <c r="B13" i="25"/>
  <c r="B21" i="25"/>
  <c r="B29" i="25"/>
  <c r="B6" i="25"/>
  <c r="B14" i="25"/>
  <c r="B22" i="25"/>
  <c r="B15" i="25"/>
  <c r="B26" i="25"/>
  <c r="B7" i="25"/>
  <c r="B18" i="25"/>
  <c r="B8" i="25"/>
  <c r="B20" i="25"/>
  <c r="B9" i="25"/>
  <c r="B23" i="25"/>
  <c r="B12" i="25"/>
  <c r="B25" i="25"/>
  <c r="B3" i="25"/>
  <c r="B4" i="25"/>
  <c r="B10" i="25"/>
  <c r="B16" i="25"/>
  <c r="B17" i="25"/>
  <c r="B24" i="25"/>
  <c r="B28" i="25"/>
  <c r="A28" i="16"/>
  <c r="B37" i="33"/>
  <c r="B7" i="46" l="1"/>
  <c r="D7" i="46" s="1"/>
  <c r="C8" i="47"/>
  <c r="D8" i="47" s="1"/>
  <c r="C7" i="48"/>
  <c r="D7" i="48" s="1"/>
  <c r="B8" i="46"/>
  <c r="D8" i="46" s="1"/>
  <c r="C6" i="47"/>
  <c r="D6" i="47" s="1"/>
  <c r="B9" i="46"/>
  <c r="D9" i="46" s="1"/>
  <c r="C6" i="48"/>
  <c r="D6" i="48" s="1"/>
  <c r="C8" i="48"/>
  <c r="D8" i="48" s="1"/>
  <c r="C7" i="47"/>
  <c r="D7" i="47" s="1"/>
  <c r="B6" i="46"/>
  <c r="D6" i="46" s="1"/>
  <c r="B5" i="42"/>
  <c r="C5" i="42" s="1"/>
  <c r="G3" i="8"/>
  <c r="F5" i="46" s="1"/>
  <c r="P6" i="42"/>
  <c r="P8" i="42"/>
  <c r="AD6" i="42"/>
  <c r="AE6" i="42" s="1"/>
  <c r="AD7" i="42"/>
  <c r="AE7" i="42" s="1"/>
  <c r="P5" i="42"/>
  <c r="Q5" i="42" s="1"/>
  <c r="G3" i="17"/>
  <c r="AD5" i="42"/>
  <c r="AE5" i="42" s="1"/>
  <c r="G3" i="25"/>
  <c r="AD8" i="42"/>
  <c r="AE8" i="42" s="1"/>
  <c r="P7" i="42"/>
  <c r="B9" i="42"/>
  <c r="B7" i="42"/>
  <c r="B8" i="42"/>
  <c r="B6" i="42"/>
  <c r="I28" i="17"/>
  <c r="G28" i="17" s="1"/>
  <c r="A31" i="24"/>
  <c r="I30" i="25"/>
  <c r="G30" i="25" s="1"/>
  <c r="Y37" i="13"/>
  <c r="X38" i="13"/>
  <c r="AF38" i="13"/>
  <c r="T39" i="13"/>
  <c r="V38" i="13"/>
  <c r="W38" i="13"/>
  <c r="U39" i="13"/>
  <c r="I38" i="8"/>
  <c r="G38" i="8" s="1"/>
  <c r="B10" i="42" s="1"/>
  <c r="B38" i="8"/>
  <c r="A39" i="2"/>
  <c r="B28" i="17"/>
  <c r="A29" i="16"/>
  <c r="B38" i="33"/>
  <c r="Y38" i="13" l="1"/>
  <c r="A7" i="46"/>
  <c r="B7" i="47"/>
  <c r="A8" i="46"/>
  <c r="B10" i="46"/>
  <c r="D10" i="46" s="1"/>
  <c r="B6" i="48"/>
  <c r="B8" i="48"/>
  <c r="B7" i="48"/>
  <c r="B8" i="47"/>
  <c r="A9" i="46"/>
  <c r="A6" i="46"/>
  <c r="B6" i="47"/>
  <c r="AC7" i="42"/>
  <c r="AC8" i="42"/>
  <c r="AC6" i="42"/>
  <c r="C6" i="42"/>
  <c r="A6" i="42" s="1"/>
  <c r="Q6" i="42"/>
  <c r="O6" i="42" s="1"/>
  <c r="Q7" i="42"/>
  <c r="Q8" i="42"/>
  <c r="C8" i="42"/>
  <c r="C10" i="42"/>
  <c r="C7" i="42"/>
  <c r="C9" i="42"/>
  <c r="A32" i="24"/>
  <c r="I31" i="25"/>
  <c r="G31" i="25" s="1"/>
  <c r="AD9" i="42" s="1"/>
  <c r="AE9" i="42" s="1"/>
  <c r="AC9" i="42" s="1"/>
  <c r="B31" i="25"/>
  <c r="X39" i="13"/>
  <c r="AF39" i="13"/>
  <c r="V39" i="13"/>
  <c r="W39" i="13"/>
  <c r="T40" i="13"/>
  <c r="U40" i="13"/>
  <c r="I39" i="8"/>
  <c r="G39" i="8" s="1"/>
  <c r="B39" i="8"/>
  <c r="A40" i="2"/>
  <c r="B29" i="17"/>
  <c r="I29" i="17"/>
  <c r="G29" i="17" s="1"/>
  <c r="A30" i="16"/>
  <c r="B39" i="33"/>
  <c r="C9" i="48" l="1"/>
  <c r="D9" i="48" s="1"/>
  <c r="A10" i="46"/>
  <c r="A7" i="42"/>
  <c r="O7" i="42"/>
  <c r="A10" i="42"/>
  <c r="A8" i="42"/>
  <c r="A9" i="42"/>
  <c r="O8" i="42"/>
  <c r="Y39" i="13"/>
  <c r="A33" i="24"/>
  <c r="I32" i="25"/>
  <c r="G32" i="25" s="1"/>
  <c r="B32" i="25"/>
  <c r="X40" i="13"/>
  <c r="AF40" i="13"/>
  <c r="T41" i="13"/>
  <c r="V40" i="13"/>
  <c r="W40" i="13"/>
  <c r="U41" i="13"/>
  <c r="I40" i="8"/>
  <c r="G40" i="8" s="1"/>
  <c r="B40" i="8"/>
  <c r="A41" i="2"/>
  <c r="I30" i="17"/>
  <c r="G30" i="17" s="1"/>
  <c r="B30" i="17"/>
  <c r="A31" i="16"/>
  <c r="B40" i="33"/>
  <c r="B9" i="48" l="1"/>
  <c r="A34" i="24"/>
  <c r="I33" i="25"/>
  <c r="G33" i="25" s="1"/>
  <c r="B33" i="25"/>
  <c r="Y40" i="13"/>
  <c r="X41" i="13"/>
  <c r="AF41" i="13"/>
  <c r="U42" i="13"/>
  <c r="T42" i="13"/>
  <c r="W41" i="13"/>
  <c r="V41" i="13"/>
  <c r="I41" i="8"/>
  <c r="G41" i="8" s="1"/>
  <c r="B41" i="8"/>
  <c r="A42" i="2"/>
  <c r="B31" i="17"/>
  <c r="I31" i="17"/>
  <c r="G31" i="17" s="1"/>
  <c r="P9" i="42" s="1"/>
  <c r="A32" i="16"/>
  <c r="B41" i="33"/>
  <c r="C9" i="47" l="1"/>
  <c r="D9" i="47" s="1"/>
  <c r="Q9" i="42"/>
  <c r="O9" i="42" s="1"/>
  <c r="Y41" i="13"/>
  <c r="A35" i="24"/>
  <c r="B34" i="25"/>
  <c r="I34" i="25"/>
  <c r="G34" i="25" s="1"/>
  <c r="X42" i="13"/>
  <c r="AF42" i="13"/>
  <c r="T43" i="13"/>
  <c r="U43" i="13"/>
  <c r="V42" i="13"/>
  <c r="W42" i="13"/>
  <c r="I42" i="8"/>
  <c r="G42" i="8" s="1"/>
  <c r="B42" i="8"/>
  <c r="A43" i="2"/>
  <c r="B32" i="17"/>
  <c r="I32" i="17"/>
  <c r="G32" i="17" s="1"/>
  <c r="A33" i="16"/>
  <c r="B42" i="33"/>
  <c r="B9" i="47" l="1"/>
  <c r="A36" i="24"/>
  <c r="I35" i="25"/>
  <c r="G35" i="25" s="1"/>
  <c r="B35" i="25"/>
  <c r="Y42" i="13"/>
  <c r="X43" i="13"/>
  <c r="AF43" i="13"/>
  <c r="V43" i="13"/>
  <c r="W43" i="13"/>
  <c r="T44" i="13"/>
  <c r="U44" i="13"/>
  <c r="I43" i="8"/>
  <c r="G43" i="8" s="1"/>
  <c r="B43" i="8"/>
  <c r="A44" i="2"/>
  <c r="I33" i="17"/>
  <c r="G33" i="17" s="1"/>
  <c r="B33" i="17"/>
  <c r="A34" i="16"/>
  <c r="B43" i="33"/>
  <c r="A37" i="24" l="1"/>
  <c r="B36" i="25"/>
  <c r="I36" i="25"/>
  <c r="G36" i="25" s="1"/>
  <c r="Y43" i="13"/>
  <c r="X44" i="13"/>
  <c r="AF44" i="13"/>
  <c r="T45" i="13"/>
  <c r="U45" i="13"/>
  <c r="V44" i="13"/>
  <c r="W44" i="13"/>
  <c r="I44" i="8"/>
  <c r="G44" i="8" s="1"/>
  <c r="B44" i="8"/>
  <c r="A45" i="2"/>
  <c r="I34" i="17"/>
  <c r="G34" i="17" s="1"/>
  <c r="B34" i="17"/>
  <c r="A35" i="16"/>
  <c r="L52" i="34"/>
  <c r="M52" i="34"/>
  <c r="A38" i="24" l="1"/>
  <c r="B37" i="25"/>
  <c r="I37" i="25"/>
  <c r="G37" i="25" s="1"/>
  <c r="Q53" i="34"/>
  <c r="Q54" i="34"/>
  <c r="U47" i="13"/>
  <c r="M53" i="34"/>
  <c r="M54" i="34"/>
  <c r="T47" i="13"/>
  <c r="L53" i="34"/>
  <c r="L54" i="34"/>
  <c r="Y44" i="13"/>
  <c r="X45" i="13"/>
  <c r="AF45" i="13"/>
  <c r="T46" i="13"/>
  <c r="W45" i="13"/>
  <c r="V45" i="13"/>
  <c r="U46" i="13"/>
  <c r="I45" i="8"/>
  <c r="G45" i="8" s="1"/>
  <c r="B45" i="8"/>
  <c r="A46" i="2"/>
  <c r="I35" i="17"/>
  <c r="G35" i="17" s="1"/>
  <c r="B35" i="17"/>
  <c r="A36" i="16"/>
  <c r="W48" i="13" l="1"/>
  <c r="O49" i="34" s="1"/>
  <c r="B11" i="46"/>
  <c r="D11" i="46" s="1"/>
  <c r="A11" i="46" s="1"/>
  <c r="B11" i="42"/>
  <c r="C11" i="42" s="1"/>
  <c r="A11" i="42" s="1"/>
  <c r="X48" i="13"/>
  <c r="A39" i="24"/>
  <c r="B38" i="25"/>
  <c r="I38" i="25"/>
  <c r="G38" i="25" s="1"/>
  <c r="C10" i="48" s="1"/>
  <c r="D10" i="48" s="1"/>
  <c r="V47" i="13"/>
  <c r="Y45" i="13"/>
  <c r="AF47" i="13"/>
  <c r="X46" i="13"/>
  <c r="AF46" i="13"/>
  <c r="V46" i="13"/>
  <c r="W46" i="13"/>
  <c r="X47" i="13"/>
  <c r="W47" i="13"/>
  <c r="A47" i="2"/>
  <c r="I46" i="8"/>
  <c r="G46" i="8" s="1"/>
  <c r="B46" i="8"/>
  <c r="I36" i="17"/>
  <c r="G36" i="17" s="1"/>
  <c r="B36" i="17"/>
  <c r="A37" i="16"/>
  <c r="P49" i="34" l="1"/>
  <c r="O55" i="34"/>
  <c r="B10" i="48"/>
  <c r="AD10" i="42"/>
  <c r="AE10" i="42" s="1"/>
  <c r="AC10" i="42" s="1"/>
  <c r="Y48" i="13"/>
  <c r="A40" i="24"/>
  <c r="I39" i="25"/>
  <c r="G39" i="25" s="1"/>
  <c r="B39" i="25"/>
  <c r="Y46" i="13"/>
  <c r="Y47" i="13"/>
  <c r="A48" i="2"/>
  <c r="I47" i="8"/>
  <c r="G47" i="8" s="1"/>
  <c r="B47" i="8"/>
  <c r="B37" i="17"/>
  <c r="I37" i="17"/>
  <c r="G37" i="17" s="1"/>
  <c r="A38" i="16"/>
  <c r="N49" i="34" l="1"/>
  <c r="P55" i="34"/>
  <c r="P54" i="34"/>
  <c r="A41" i="24"/>
  <c r="B40" i="25"/>
  <c r="I40" i="25"/>
  <c r="G40" i="25" s="1"/>
  <c r="A49" i="2"/>
  <c r="I48" i="8"/>
  <c r="G48" i="8" s="1"/>
  <c r="B48" i="8"/>
  <c r="B38" i="17"/>
  <c r="I38" i="17"/>
  <c r="G38" i="17" s="1"/>
  <c r="C10" i="47" s="1"/>
  <c r="D10" i="47" s="1"/>
  <c r="A39" i="16"/>
  <c r="N54" i="34" l="1"/>
  <c r="N55" i="34"/>
  <c r="P53" i="34"/>
  <c r="P52" i="34"/>
  <c r="S52" i="34"/>
  <c r="B10" i="47"/>
  <c r="P10" i="42"/>
  <c r="Q10" i="42" s="1"/>
  <c r="O10" i="42" s="1"/>
  <c r="A42" i="24"/>
  <c r="B41" i="25"/>
  <c r="I41" i="25"/>
  <c r="G41" i="25" s="1"/>
  <c r="A50" i="2"/>
  <c r="I49" i="8"/>
  <c r="G49" i="8" s="1"/>
  <c r="B49" i="8"/>
  <c r="I39" i="17"/>
  <c r="G39" i="17" s="1"/>
  <c r="B39" i="17"/>
  <c r="A40" i="16"/>
  <c r="S54" i="34" l="1"/>
  <c r="S53" i="34"/>
  <c r="O52" i="34"/>
  <c r="R52" i="34"/>
  <c r="O53" i="34"/>
  <c r="O54" i="34"/>
  <c r="A43" i="24"/>
  <c r="I42" i="25"/>
  <c r="G42" i="25" s="1"/>
  <c r="B42" i="25"/>
  <c r="A51" i="2"/>
  <c r="I50" i="8"/>
  <c r="G50" i="8" s="1"/>
  <c r="B50" i="8"/>
  <c r="B40" i="17"/>
  <c r="I40" i="17"/>
  <c r="G40" i="17" s="1"/>
  <c r="A41" i="16"/>
  <c r="R53" i="34" l="1"/>
  <c r="R54" i="34"/>
  <c r="A44" i="24"/>
  <c r="I43" i="25"/>
  <c r="G43" i="25" s="1"/>
  <c r="B43" i="25"/>
  <c r="A52" i="2"/>
  <c r="I51" i="8"/>
  <c r="G51" i="8" s="1"/>
  <c r="B51" i="8"/>
  <c r="B41" i="17"/>
  <c r="I41" i="17"/>
  <c r="G41" i="17" s="1"/>
  <c r="A42" i="16"/>
  <c r="A45" i="24" l="1"/>
  <c r="B44" i="25"/>
  <c r="I44" i="25"/>
  <c r="G44" i="25" s="1"/>
  <c r="A53" i="2"/>
  <c r="I52" i="8"/>
  <c r="G52" i="8" s="1"/>
  <c r="B12" i="46" s="1"/>
  <c r="D12" i="46" s="1"/>
  <c r="B52" i="8"/>
  <c r="I42" i="17"/>
  <c r="G42" i="17" s="1"/>
  <c r="B42" i="17"/>
  <c r="A43" i="16"/>
  <c r="A12" i="46" l="1"/>
  <c r="B12" i="42"/>
  <c r="C12" i="42" s="1"/>
  <c r="A12" i="42" s="1"/>
  <c r="A46" i="24"/>
  <c r="B45" i="25"/>
  <c r="I45" i="25"/>
  <c r="G45" i="25" s="1"/>
  <c r="C11" i="48" s="1"/>
  <c r="D11" i="48" s="1"/>
  <c r="A54" i="2"/>
  <c r="I53" i="8"/>
  <c r="G53" i="8" s="1"/>
  <c r="B53" i="8"/>
  <c r="I43" i="17"/>
  <c r="G43" i="17" s="1"/>
  <c r="B43" i="17"/>
  <c r="A44" i="16"/>
  <c r="B11" i="48" l="1"/>
  <c r="AD11" i="42"/>
  <c r="AE11" i="42" s="1"/>
  <c r="AC11" i="42" s="1"/>
  <c r="A47" i="24"/>
  <c r="I46" i="25"/>
  <c r="G46" i="25" s="1"/>
  <c r="B46" i="25"/>
  <c r="A55" i="2"/>
  <c r="I54" i="8"/>
  <c r="G54" i="8" s="1"/>
  <c r="B54" i="8"/>
  <c r="B44" i="17"/>
  <c r="I44" i="17"/>
  <c r="G44" i="17" s="1"/>
  <c r="A45" i="16"/>
  <c r="A48" i="24" l="1"/>
  <c r="B47" i="25"/>
  <c r="I47" i="25"/>
  <c r="G47" i="25" s="1"/>
  <c r="A56" i="2"/>
  <c r="I55" i="8"/>
  <c r="G55" i="8" s="1"/>
  <c r="B55" i="8"/>
  <c r="I45" i="17"/>
  <c r="G45" i="17" s="1"/>
  <c r="C11" i="47" s="1"/>
  <c r="D11" i="47" s="1"/>
  <c r="B45" i="17"/>
  <c r="A46" i="16"/>
  <c r="B11" i="47" l="1"/>
  <c r="P11" i="42"/>
  <c r="Q11" i="42" s="1"/>
  <c r="O11" i="42" s="1"/>
  <c r="A49" i="24"/>
  <c r="B48" i="25"/>
  <c r="I48" i="25"/>
  <c r="G48" i="25" s="1"/>
  <c r="A57" i="2"/>
  <c r="I56" i="8"/>
  <c r="G56" i="8" s="1"/>
  <c r="B56" i="8"/>
  <c r="B46" i="17"/>
  <c r="I46" i="17"/>
  <c r="G46" i="17" s="1"/>
  <c r="A47" i="16"/>
  <c r="A50" i="24" l="1"/>
  <c r="I49" i="25"/>
  <c r="G49" i="25" s="1"/>
  <c r="B49" i="25"/>
  <c r="A58" i="2"/>
  <c r="I57" i="8"/>
  <c r="G57" i="8" s="1"/>
  <c r="B57" i="8"/>
  <c r="B47" i="17"/>
  <c r="I47" i="17"/>
  <c r="G47" i="17" s="1"/>
  <c r="A48" i="16"/>
  <c r="A51" i="24" l="1"/>
  <c r="B50" i="25"/>
  <c r="I50" i="25"/>
  <c r="G50" i="25" s="1"/>
  <c r="A59" i="2"/>
  <c r="I58" i="8"/>
  <c r="G58" i="8" s="1"/>
  <c r="B58" i="8"/>
  <c r="I48" i="17"/>
  <c r="G48" i="17" s="1"/>
  <c r="B48" i="17"/>
  <c r="A49" i="16"/>
  <c r="A52" i="24" l="1"/>
  <c r="I51" i="25"/>
  <c r="G51" i="25" s="1"/>
  <c r="B51" i="25"/>
  <c r="A60" i="2"/>
  <c r="I59" i="8"/>
  <c r="G59" i="8" s="1"/>
  <c r="B13" i="46" s="1"/>
  <c r="D13" i="46" s="1"/>
  <c r="B59" i="8"/>
  <c r="B49" i="17"/>
  <c r="I49" i="17"/>
  <c r="G49" i="17" s="1"/>
  <c r="A50" i="16"/>
  <c r="A13" i="46" l="1"/>
  <c r="B13" i="42"/>
  <c r="C13" i="42" s="1"/>
  <c r="A13" i="42" s="1"/>
  <c r="A53" i="24"/>
  <c r="I52" i="25"/>
  <c r="G52" i="25" s="1"/>
  <c r="C12" i="48" s="1"/>
  <c r="D12" i="48" s="1"/>
  <c r="B52" i="25"/>
  <c r="A61" i="2"/>
  <c r="I60" i="8"/>
  <c r="G60" i="8" s="1"/>
  <c r="B60" i="8"/>
  <c r="I50" i="17"/>
  <c r="G50" i="17" s="1"/>
  <c r="B50" i="17"/>
  <c r="A51" i="16"/>
  <c r="B12" i="48" l="1"/>
  <c r="AD12" i="42"/>
  <c r="AE12" i="42" s="1"/>
  <c r="AC12" i="42" s="1"/>
  <c r="A54" i="24"/>
  <c r="I53" i="25"/>
  <c r="G53" i="25" s="1"/>
  <c r="B53" i="25"/>
  <c r="A62" i="2"/>
  <c r="I61" i="8"/>
  <c r="G61" i="8" s="1"/>
  <c r="B61" i="8"/>
  <c r="I51" i="17"/>
  <c r="G51" i="17" s="1"/>
  <c r="B51" i="17"/>
  <c r="A52" i="16"/>
  <c r="A55" i="24" l="1"/>
  <c r="I54" i="25"/>
  <c r="G54" i="25" s="1"/>
  <c r="B54" i="25"/>
  <c r="A63" i="2"/>
  <c r="I62" i="8"/>
  <c r="G62" i="8" s="1"/>
  <c r="B62" i="8"/>
  <c r="B52" i="17"/>
  <c r="I52" i="17"/>
  <c r="G52" i="17" s="1"/>
  <c r="C12" i="47" s="1"/>
  <c r="D12" i="47" s="1"/>
  <c r="A53" i="16"/>
  <c r="B12" i="47" l="1"/>
  <c r="P12" i="42"/>
  <c r="Q12" i="42" s="1"/>
  <c r="O12" i="42" s="1"/>
  <c r="A56" i="24"/>
  <c r="B55" i="25"/>
  <c r="I55" i="25"/>
  <c r="G55" i="25" s="1"/>
  <c r="A64" i="2"/>
  <c r="I63" i="8"/>
  <c r="G63" i="8" s="1"/>
  <c r="B63" i="8"/>
  <c r="I53" i="17"/>
  <c r="G53" i="17" s="1"/>
  <c r="B53" i="17"/>
  <c r="A54" i="16"/>
  <c r="A57" i="24" l="1"/>
  <c r="I56" i="25"/>
  <c r="G56" i="25" s="1"/>
  <c r="B56" i="25"/>
  <c r="A65" i="2"/>
  <c r="I64" i="8"/>
  <c r="G64" i="8" s="1"/>
  <c r="B64" i="8"/>
  <c r="B54" i="17"/>
  <c r="I54" i="17"/>
  <c r="G54" i="17" s="1"/>
  <c r="A55" i="16"/>
  <c r="A58" i="24" l="1"/>
  <c r="I57" i="25"/>
  <c r="G57" i="25" s="1"/>
  <c r="B57" i="25"/>
  <c r="A66" i="2"/>
  <c r="I65" i="8"/>
  <c r="G65" i="8" s="1"/>
  <c r="B65" i="8"/>
  <c r="B55" i="17"/>
  <c r="I55" i="17"/>
  <c r="G55" i="17" s="1"/>
  <c r="A56" i="16"/>
  <c r="A59" i="24" l="1"/>
  <c r="I58" i="25"/>
  <c r="G58" i="25" s="1"/>
  <c r="B58" i="25"/>
  <c r="A67" i="2"/>
  <c r="I66" i="8"/>
  <c r="G66" i="8" s="1"/>
  <c r="B14" i="46" s="1"/>
  <c r="D14" i="46" s="1"/>
  <c r="B66" i="8"/>
  <c r="I56" i="17"/>
  <c r="G56" i="17" s="1"/>
  <c r="B56" i="17"/>
  <c r="A57" i="16"/>
  <c r="A14" i="46" l="1"/>
  <c r="B14" i="42"/>
  <c r="C14" i="42" s="1"/>
  <c r="A14" i="42" s="1"/>
  <c r="A60" i="24"/>
  <c r="I59" i="25"/>
  <c r="G59" i="25" s="1"/>
  <c r="C13" i="48" s="1"/>
  <c r="D13" i="48" s="1"/>
  <c r="B59" i="25"/>
  <c r="A68" i="2"/>
  <c r="I67" i="8"/>
  <c r="G67" i="8" s="1"/>
  <c r="B67" i="8"/>
  <c r="B57" i="17"/>
  <c r="I57" i="17"/>
  <c r="G57" i="17" s="1"/>
  <c r="A58" i="16"/>
  <c r="B13" i="48" l="1"/>
  <c r="AD13" i="42"/>
  <c r="AE13" i="42" s="1"/>
  <c r="AC13" i="42" s="1"/>
  <c r="A61" i="24"/>
  <c r="I60" i="25"/>
  <c r="G60" i="25" s="1"/>
  <c r="B60" i="25"/>
  <c r="A69" i="2"/>
  <c r="I68" i="8"/>
  <c r="G68" i="8" s="1"/>
  <c r="B68" i="8"/>
  <c r="I58" i="17"/>
  <c r="G58" i="17" s="1"/>
  <c r="B58" i="17"/>
  <c r="A59" i="16"/>
  <c r="A62" i="24" l="1"/>
  <c r="I61" i="25"/>
  <c r="G61" i="25" s="1"/>
  <c r="B61" i="25"/>
  <c r="A70" i="2"/>
  <c r="I69" i="8"/>
  <c r="G69" i="8" s="1"/>
  <c r="B69" i="8"/>
  <c r="I59" i="17"/>
  <c r="G59" i="17" s="1"/>
  <c r="C13" i="47" s="1"/>
  <c r="D13" i="47" s="1"/>
  <c r="B59" i="17"/>
  <c r="A60" i="16"/>
  <c r="B13" i="47" l="1"/>
  <c r="P13" i="42"/>
  <c r="Q13" i="42" s="1"/>
  <c r="O13" i="42" s="1"/>
  <c r="A63" i="24"/>
  <c r="I62" i="25"/>
  <c r="G62" i="25" s="1"/>
  <c r="B62" i="25"/>
  <c r="A71" i="2"/>
  <c r="I70" i="8"/>
  <c r="G70" i="8" s="1"/>
  <c r="B70" i="8"/>
  <c r="I60" i="17"/>
  <c r="G60" i="17" s="1"/>
  <c r="B60" i="17"/>
  <c r="A61" i="16"/>
  <c r="A64" i="24" l="1"/>
  <c r="I63" i="25"/>
  <c r="G63" i="25" s="1"/>
  <c r="B63" i="25"/>
  <c r="A72" i="2"/>
  <c r="I71" i="8"/>
  <c r="G71" i="8" s="1"/>
  <c r="B71" i="8"/>
  <c r="I61" i="17"/>
  <c r="G61" i="17" s="1"/>
  <c r="B61" i="17"/>
  <c r="A62" i="16"/>
  <c r="A65" i="24" l="1"/>
  <c r="I64" i="25"/>
  <c r="G64" i="25" s="1"/>
  <c r="B64" i="25"/>
  <c r="A73" i="2"/>
  <c r="I72" i="8"/>
  <c r="G72" i="8" s="1"/>
  <c r="B72" i="8"/>
  <c r="A63" i="16"/>
  <c r="I62" i="17"/>
  <c r="G62" i="17" s="1"/>
  <c r="B62" i="17"/>
  <c r="A66" i="24" l="1"/>
  <c r="I65" i="25"/>
  <c r="G65" i="25" s="1"/>
  <c r="B65" i="25"/>
  <c r="A74" i="2"/>
  <c r="I73" i="8"/>
  <c r="G73" i="8" s="1"/>
  <c r="B15" i="46" s="1"/>
  <c r="D15" i="46" s="1"/>
  <c r="B73" i="8"/>
  <c r="A64" i="16"/>
  <c r="B63" i="17"/>
  <c r="I63" i="17"/>
  <c r="G63" i="17" s="1"/>
  <c r="A15" i="46" l="1"/>
  <c r="B15" i="42"/>
  <c r="C15" i="42" s="1"/>
  <c r="A15" i="42" s="1"/>
  <c r="A67" i="24"/>
  <c r="I66" i="25"/>
  <c r="G66" i="25" s="1"/>
  <c r="C14" i="48" s="1"/>
  <c r="D14" i="48" s="1"/>
  <c r="B66" i="25"/>
  <c r="A75" i="2"/>
  <c r="I74" i="8"/>
  <c r="G74" i="8" s="1"/>
  <c r="B74" i="8"/>
  <c r="A65" i="16"/>
  <c r="B64" i="17"/>
  <c r="I64" i="17"/>
  <c r="G64" i="17" s="1"/>
  <c r="B14" i="48" l="1"/>
  <c r="AD14" i="42"/>
  <c r="AE14" i="42" s="1"/>
  <c r="AC14" i="42" s="1"/>
  <c r="A68" i="24"/>
  <c r="I67" i="25"/>
  <c r="G67" i="25" s="1"/>
  <c r="B67" i="25"/>
  <c r="A76" i="2"/>
  <c r="I75" i="8"/>
  <c r="G75" i="8" s="1"/>
  <c r="B75" i="8"/>
  <c r="A66" i="16"/>
  <c r="B65" i="17"/>
  <c r="I65" i="17"/>
  <c r="G65" i="17" s="1"/>
  <c r="A69" i="24" l="1"/>
  <c r="I68" i="25"/>
  <c r="G68" i="25" s="1"/>
  <c r="B68" i="25"/>
  <c r="A77" i="2"/>
  <c r="I76" i="8"/>
  <c r="G76" i="8" s="1"/>
  <c r="B76" i="8"/>
  <c r="I66" i="17"/>
  <c r="G66" i="17" s="1"/>
  <c r="C14" i="47" s="1"/>
  <c r="D14" i="47" s="1"/>
  <c r="B66" i="17"/>
  <c r="A67" i="16"/>
  <c r="B14" i="47" l="1"/>
  <c r="P14" i="42"/>
  <c r="Q14" i="42" s="1"/>
  <c r="O14" i="42" s="1"/>
  <c r="A70" i="24"/>
  <c r="B69" i="25"/>
  <c r="I69" i="25"/>
  <c r="G69" i="25" s="1"/>
  <c r="A78" i="2"/>
  <c r="I77" i="8"/>
  <c r="G77" i="8" s="1"/>
  <c r="B77" i="8"/>
  <c r="B67" i="17"/>
  <c r="I67" i="17"/>
  <c r="G67" i="17" s="1"/>
  <c r="A68" i="16"/>
  <c r="A71" i="24" l="1"/>
  <c r="B70" i="25"/>
  <c r="I70" i="25"/>
  <c r="G70" i="25" s="1"/>
  <c r="A79" i="2"/>
  <c r="I78" i="8"/>
  <c r="G78" i="8" s="1"/>
  <c r="B78" i="8"/>
  <c r="B68" i="17"/>
  <c r="I68" i="17"/>
  <c r="G68" i="17" s="1"/>
  <c r="A69" i="16"/>
  <c r="A72" i="24" l="1"/>
  <c r="I71" i="25"/>
  <c r="G71" i="25" s="1"/>
  <c r="B71" i="25"/>
  <c r="A80" i="2"/>
  <c r="I79" i="8"/>
  <c r="G79" i="8" s="1"/>
  <c r="B79" i="8"/>
  <c r="I69" i="17"/>
  <c r="G69" i="17" s="1"/>
  <c r="B69" i="17"/>
  <c r="A70" i="16"/>
  <c r="A73" i="24" l="1"/>
  <c r="I72" i="25"/>
  <c r="G72" i="25" s="1"/>
  <c r="B72" i="25"/>
  <c r="A81" i="2"/>
  <c r="I80" i="8"/>
  <c r="G80" i="8" s="1"/>
  <c r="B16" i="46" s="1"/>
  <c r="D16" i="46" s="1"/>
  <c r="B80" i="8"/>
  <c r="B70" i="17"/>
  <c r="I70" i="17"/>
  <c r="G70" i="17" s="1"/>
  <c r="A71" i="16"/>
  <c r="A16" i="46" l="1"/>
  <c r="B16" i="42"/>
  <c r="C16" i="42" s="1"/>
  <c r="A16" i="42" s="1"/>
  <c r="A74" i="24"/>
  <c r="I73" i="25"/>
  <c r="G73" i="25" s="1"/>
  <c r="C15" i="48" s="1"/>
  <c r="D15" i="48" s="1"/>
  <c r="B73" i="25"/>
  <c r="A82" i="2"/>
  <c r="I81" i="8"/>
  <c r="G81" i="8" s="1"/>
  <c r="B81" i="8"/>
  <c r="B71" i="17"/>
  <c r="I71" i="17"/>
  <c r="G71" i="17" s="1"/>
  <c r="A72" i="16"/>
  <c r="B15" i="48" l="1"/>
  <c r="AD15" i="42"/>
  <c r="AE15" i="42" s="1"/>
  <c r="AC15" i="42" s="1"/>
  <c r="A75" i="24"/>
  <c r="B74" i="25"/>
  <c r="I74" i="25"/>
  <c r="G74" i="25" s="1"/>
  <c r="A83" i="2"/>
  <c r="I82" i="8"/>
  <c r="G82" i="8" s="1"/>
  <c r="B82" i="8"/>
  <c r="B72" i="17"/>
  <c r="I72" i="17"/>
  <c r="G72" i="17" s="1"/>
  <c r="A73" i="16"/>
  <c r="A76" i="24" l="1"/>
  <c r="I75" i="25"/>
  <c r="G75" i="25" s="1"/>
  <c r="B75" i="25"/>
  <c r="A84" i="2"/>
  <c r="I83" i="8"/>
  <c r="G83" i="8" s="1"/>
  <c r="B83" i="8"/>
  <c r="B73" i="17"/>
  <c r="I73" i="17"/>
  <c r="G73" i="17" s="1"/>
  <c r="C15" i="47" s="1"/>
  <c r="D15" i="47" s="1"/>
  <c r="A74" i="16"/>
  <c r="B15" i="47" l="1"/>
  <c r="P15" i="42"/>
  <c r="Q15" i="42" s="1"/>
  <c r="O15" i="42" s="1"/>
  <c r="A77" i="24"/>
  <c r="B76" i="25"/>
  <c r="I76" i="25"/>
  <c r="G76" i="25" s="1"/>
  <c r="A85" i="2"/>
  <c r="I84" i="8"/>
  <c r="G84" i="8" s="1"/>
  <c r="B84" i="8"/>
  <c r="I74" i="17"/>
  <c r="G74" i="17" s="1"/>
  <c r="B74" i="17"/>
  <c r="A75" i="16"/>
  <c r="A78" i="24" l="1"/>
  <c r="B77" i="25"/>
  <c r="I77" i="25"/>
  <c r="G77" i="25" s="1"/>
  <c r="A86" i="2"/>
  <c r="I85" i="8"/>
  <c r="G85" i="8" s="1"/>
  <c r="B85" i="8"/>
  <c r="B75" i="17"/>
  <c r="I75" i="17"/>
  <c r="G75" i="17" s="1"/>
  <c r="A76" i="16"/>
  <c r="A79" i="24" l="1"/>
  <c r="B78" i="25"/>
  <c r="I78" i="25"/>
  <c r="G78" i="25" s="1"/>
  <c r="A87" i="2"/>
  <c r="I86" i="8"/>
  <c r="G86" i="8" s="1"/>
  <c r="B86" i="8"/>
  <c r="B76" i="17"/>
  <c r="I76" i="17"/>
  <c r="G76" i="17" s="1"/>
  <c r="A77" i="16"/>
  <c r="A80" i="24" l="1"/>
  <c r="B79" i="25"/>
  <c r="I79" i="25"/>
  <c r="G79" i="25" s="1"/>
  <c r="A88" i="2"/>
  <c r="I87" i="8"/>
  <c r="G87" i="8" s="1"/>
  <c r="B17" i="46" s="1"/>
  <c r="D17" i="46" s="1"/>
  <c r="B87" i="8"/>
  <c r="I77" i="17"/>
  <c r="G77" i="17" s="1"/>
  <c r="B77" i="17"/>
  <c r="A78" i="16"/>
  <c r="A17" i="46" l="1"/>
  <c r="B17" i="42"/>
  <c r="C17" i="42" s="1"/>
  <c r="A17" i="42" s="1"/>
  <c r="A81" i="24"/>
  <c r="B80" i="25"/>
  <c r="I80" i="25"/>
  <c r="G80" i="25" s="1"/>
  <c r="C16" i="48" s="1"/>
  <c r="D16" i="48" s="1"/>
  <c r="A89" i="2"/>
  <c r="I88" i="8"/>
  <c r="G88" i="8" s="1"/>
  <c r="B88" i="8"/>
  <c r="B78" i="17"/>
  <c r="I78" i="17"/>
  <c r="G78" i="17" s="1"/>
  <c r="A79" i="16"/>
  <c r="B16" i="48" l="1"/>
  <c r="AD16" i="42"/>
  <c r="AE16" i="42" s="1"/>
  <c r="AC16" i="42" s="1"/>
  <c r="A82" i="24"/>
  <c r="I81" i="25"/>
  <c r="G81" i="25" s="1"/>
  <c r="B81" i="25"/>
  <c r="A90" i="2"/>
  <c r="I89" i="8"/>
  <c r="G89" i="8" s="1"/>
  <c r="B89" i="8"/>
  <c r="I79" i="17"/>
  <c r="G79" i="17" s="1"/>
  <c r="B79" i="17"/>
  <c r="A80" i="16"/>
  <c r="A83" i="24" l="1"/>
  <c r="I82" i="25"/>
  <c r="G82" i="25" s="1"/>
  <c r="B82" i="25"/>
  <c r="A91" i="2"/>
  <c r="I90" i="8"/>
  <c r="G90" i="8" s="1"/>
  <c r="B90" i="8"/>
  <c r="B80" i="17"/>
  <c r="I80" i="17"/>
  <c r="G80" i="17" s="1"/>
  <c r="C16" i="47" s="1"/>
  <c r="D16" i="47" s="1"/>
  <c r="A81" i="16"/>
  <c r="B16" i="47" l="1"/>
  <c r="P16" i="42"/>
  <c r="Q16" i="42" s="1"/>
  <c r="O16" i="42" s="1"/>
  <c r="A84" i="24"/>
  <c r="I83" i="25"/>
  <c r="G83" i="25" s="1"/>
  <c r="B83" i="25"/>
  <c r="A92" i="2"/>
  <c r="I91" i="8"/>
  <c r="G91" i="8" s="1"/>
  <c r="B91" i="8"/>
  <c r="B81" i="17"/>
  <c r="I81" i="17"/>
  <c r="G81" i="17" s="1"/>
  <c r="A82" i="16"/>
  <c r="A85" i="24" l="1"/>
  <c r="B84" i="25"/>
  <c r="I84" i="25"/>
  <c r="G84" i="25" s="1"/>
  <c r="A93" i="2"/>
  <c r="I92" i="8"/>
  <c r="G92" i="8" s="1"/>
  <c r="B92" i="8"/>
  <c r="B82" i="17"/>
  <c r="I82" i="17"/>
  <c r="G82" i="17" s="1"/>
  <c r="A83" i="16"/>
  <c r="A86" i="24" l="1"/>
  <c r="I85" i="25"/>
  <c r="G85" i="25" s="1"/>
  <c r="B85" i="25"/>
  <c r="A94" i="2"/>
  <c r="I93" i="8"/>
  <c r="G93" i="8" s="1"/>
  <c r="B93" i="8"/>
  <c r="B83" i="17"/>
  <c r="I83" i="17"/>
  <c r="G83" i="17" s="1"/>
  <c r="A84" i="16"/>
  <c r="A87" i="24" l="1"/>
  <c r="I86" i="25"/>
  <c r="G86" i="25" s="1"/>
  <c r="B86" i="25"/>
  <c r="I94" i="8"/>
  <c r="G94" i="8" s="1"/>
  <c r="B18" i="46" s="1"/>
  <c r="D18" i="46" s="1"/>
  <c r="B94" i="8"/>
  <c r="A95" i="2"/>
  <c r="I84" i="17"/>
  <c r="G84" i="17" s="1"/>
  <c r="B84" i="17"/>
  <c r="A85" i="16"/>
  <c r="A18" i="46" l="1"/>
  <c r="B18" i="42"/>
  <c r="C18" i="42" s="1"/>
  <c r="A18" i="42" s="1"/>
  <c r="A88" i="24"/>
  <c r="B87" i="25"/>
  <c r="I87" i="25"/>
  <c r="G87" i="25" s="1"/>
  <c r="C17" i="48" s="1"/>
  <c r="D17" i="48" s="1"/>
  <c r="I95" i="8"/>
  <c r="G95" i="8" s="1"/>
  <c r="B95" i="8"/>
  <c r="A96" i="2"/>
  <c r="B85" i="17"/>
  <c r="I85" i="17"/>
  <c r="G85" i="17" s="1"/>
  <c r="A86" i="16"/>
  <c r="B17" i="48" l="1"/>
  <c r="AD17" i="42"/>
  <c r="AE17" i="42" s="1"/>
  <c r="AC17" i="42" s="1"/>
  <c r="A89" i="24"/>
  <c r="I88" i="25"/>
  <c r="G88" i="25" s="1"/>
  <c r="B88" i="25"/>
  <c r="I96" i="8"/>
  <c r="G96" i="8" s="1"/>
  <c r="B96" i="8"/>
  <c r="A97" i="2"/>
  <c r="I86" i="17"/>
  <c r="G86" i="17" s="1"/>
  <c r="B86" i="17"/>
  <c r="A87" i="16"/>
  <c r="A90" i="24" l="1"/>
  <c r="I89" i="25"/>
  <c r="G89" i="25" s="1"/>
  <c r="B89" i="25"/>
  <c r="I97" i="8"/>
  <c r="G97" i="8" s="1"/>
  <c r="B97" i="8"/>
  <c r="A98" i="2"/>
  <c r="I87" i="17"/>
  <c r="G87" i="17" s="1"/>
  <c r="C17" i="47" s="1"/>
  <c r="D17" i="47" s="1"/>
  <c r="B87" i="17"/>
  <c r="A88" i="16"/>
  <c r="B17" i="47" l="1"/>
  <c r="P17" i="42"/>
  <c r="Q17" i="42" s="1"/>
  <c r="O17" i="42" s="1"/>
  <c r="A91" i="24"/>
  <c r="B90" i="25"/>
  <c r="I90" i="25"/>
  <c r="G90" i="25" s="1"/>
  <c r="I98" i="8"/>
  <c r="G98" i="8" s="1"/>
  <c r="B98" i="8"/>
  <c r="A99" i="2"/>
  <c r="I88" i="17"/>
  <c r="G88" i="17" s="1"/>
  <c r="B88" i="17"/>
  <c r="A89" i="16"/>
  <c r="A92" i="24" l="1"/>
  <c r="I91" i="25"/>
  <c r="G91" i="25" s="1"/>
  <c r="B91" i="25"/>
  <c r="I99" i="8"/>
  <c r="G99" i="8" s="1"/>
  <c r="B99" i="8"/>
  <c r="A100" i="2"/>
  <c r="I89" i="17"/>
  <c r="G89" i="17" s="1"/>
  <c r="B89" i="17"/>
  <c r="A90" i="16"/>
  <c r="A93" i="24" l="1"/>
  <c r="B92" i="25"/>
  <c r="I92" i="25"/>
  <c r="G92" i="25" s="1"/>
  <c r="I100" i="8"/>
  <c r="G100" i="8" s="1"/>
  <c r="B100" i="8"/>
  <c r="A101" i="2"/>
  <c r="B90" i="17"/>
  <c r="I90" i="17"/>
  <c r="G90" i="17" s="1"/>
  <c r="A91" i="16"/>
  <c r="A94" i="24" l="1"/>
  <c r="I93" i="25"/>
  <c r="G93" i="25" s="1"/>
  <c r="B93" i="25"/>
  <c r="I101" i="8"/>
  <c r="G101" i="8" s="1"/>
  <c r="B19" i="46" s="1"/>
  <c r="D19" i="46" s="1"/>
  <c r="B101" i="8"/>
  <c r="A102" i="2"/>
  <c r="I91" i="17"/>
  <c r="G91" i="17" s="1"/>
  <c r="B91" i="17"/>
  <c r="A92" i="16"/>
  <c r="A19" i="46" l="1"/>
  <c r="B19" i="42"/>
  <c r="C19" i="42" s="1"/>
  <c r="A19" i="42" s="1"/>
  <c r="A95" i="24"/>
  <c r="I94" i="25"/>
  <c r="G94" i="25" s="1"/>
  <c r="C18" i="48" s="1"/>
  <c r="D18" i="48" s="1"/>
  <c r="B94" i="25"/>
  <c r="I102" i="8"/>
  <c r="G102" i="8" s="1"/>
  <c r="B102" i="8"/>
  <c r="A103" i="2"/>
  <c r="B92" i="17"/>
  <c r="I92" i="17"/>
  <c r="G92" i="17" s="1"/>
  <c r="A93" i="16"/>
  <c r="B18" i="48" l="1"/>
  <c r="AD18" i="42"/>
  <c r="AE18" i="42" s="1"/>
  <c r="AC18" i="42" s="1"/>
  <c r="A96" i="24"/>
  <c r="I95" i="25"/>
  <c r="G95" i="25" s="1"/>
  <c r="B95" i="25"/>
  <c r="I103" i="8"/>
  <c r="G103" i="8" s="1"/>
  <c r="B103" i="8"/>
  <c r="A104" i="2"/>
  <c r="B93" i="17"/>
  <c r="I93" i="17"/>
  <c r="G93" i="17" s="1"/>
  <c r="A94" i="16"/>
  <c r="A97" i="24" l="1"/>
  <c r="B96" i="25"/>
  <c r="I96" i="25"/>
  <c r="G96" i="25" s="1"/>
  <c r="I104" i="8"/>
  <c r="G104" i="8" s="1"/>
  <c r="B104" i="8"/>
  <c r="A105" i="2"/>
  <c r="I94" i="17"/>
  <c r="G94" i="17" s="1"/>
  <c r="C18" i="47" s="1"/>
  <c r="D18" i="47" s="1"/>
  <c r="B94" i="17"/>
  <c r="A95" i="16"/>
  <c r="B18" i="47" l="1"/>
  <c r="P18" i="42"/>
  <c r="Q18" i="42" s="1"/>
  <c r="O18" i="42" s="1"/>
  <c r="A98" i="24"/>
  <c r="B97" i="25"/>
  <c r="I97" i="25"/>
  <c r="G97" i="25" s="1"/>
  <c r="I105" i="8"/>
  <c r="G105" i="8" s="1"/>
  <c r="B105" i="8"/>
  <c r="A106" i="2"/>
  <c r="B95" i="17"/>
  <c r="I95" i="17"/>
  <c r="G95" i="17" s="1"/>
  <c r="A96" i="16"/>
  <c r="A99" i="24" l="1"/>
  <c r="I98" i="25"/>
  <c r="G98" i="25" s="1"/>
  <c r="B98" i="25"/>
  <c r="I106" i="8"/>
  <c r="G106" i="8" s="1"/>
  <c r="B106" i="8"/>
  <c r="A107" i="2"/>
  <c r="I96" i="17"/>
  <c r="G96" i="17" s="1"/>
  <c r="B96" i="17"/>
  <c r="A97" i="16"/>
  <c r="A100" i="24" l="1"/>
  <c r="I99" i="25"/>
  <c r="G99" i="25" s="1"/>
  <c r="B99" i="25"/>
  <c r="I107" i="8"/>
  <c r="G107" i="8" s="1"/>
  <c r="B107" i="8"/>
  <c r="A108" i="2"/>
  <c r="I97" i="17"/>
  <c r="G97" i="17" s="1"/>
  <c r="B97" i="17"/>
  <c r="A98" i="16"/>
  <c r="A101" i="24" l="1"/>
  <c r="I100" i="25"/>
  <c r="G100" i="25" s="1"/>
  <c r="B100" i="25"/>
  <c r="I108" i="8"/>
  <c r="G108" i="8" s="1"/>
  <c r="B20" i="46" s="1"/>
  <c r="D20" i="46" s="1"/>
  <c r="B108" i="8"/>
  <c r="A109" i="2"/>
  <c r="I98" i="17"/>
  <c r="G98" i="17" s="1"/>
  <c r="B98" i="17"/>
  <c r="A99" i="16"/>
  <c r="A20" i="46" l="1"/>
  <c r="B20" i="42"/>
  <c r="C20" i="42" s="1"/>
  <c r="A20" i="42" s="1"/>
  <c r="A102" i="24"/>
  <c r="I101" i="25"/>
  <c r="G101" i="25" s="1"/>
  <c r="C19" i="48" s="1"/>
  <c r="D19" i="48" s="1"/>
  <c r="B101" i="25"/>
  <c r="I109" i="8"/>
  <c r="G109" i="8" s="1"/>
  <c r="B109" i="8"/>
  <c r="A110" i="2"/>
  <c r="I99" i="17"/>
  <c r="G99" i="17" s="1"/>
  <c r="B99" i="17"/>
  <c r="A100" i="16"/>
  <c r="B19" i="48" l="1"/>
  <c r="AD19" i="42"/>
  <c r="AE19" i="42" s="1"/>
  <c r="AC19" i="42" s="1"/>
  <c r="A103" i="24"/>
  <c r="B102" i="25"/>
  <c r="I102" i="25"/>
  <c r="G102" i="25" s="1"/>
  <c r="I110" i="8"/>
  <c r="G110" i="8" s="1"/>
  <c r="B110" i="8"/>
  <c r="A111" i="2"/>
  <c r="B100" i="17"/>
  <c r="I100" i="17"/>
  <c r="G100" i="17" s="1"/>
  <c r="A101" i="16"/>
  <c r="A104" i="24" l="1"/>
  <c r="I103" i="25"/>
  <c r="G103" i="25" s="1"/>
  <c r="B103" i="25"/>
  <c r="I111" i="8"/>
  <c r="G111" i="8" s="1"/>
  <c r="B111" i="8"/>
  <c r="A112" i="2"/>
  <c r="I101" i="17"/>
  <c r="G101" i="17" s="1"/>
  <c r="C19" i="47" s="1"/>
  <c r="D19" i="47" s="1"/>
  <c r="B101" i="17"/>
  <c r="A102" i="16"/>
  <c r="B19" i="47" l="1"/>
  <c r="P19" i="42"/>
  <c r="Q19" i="42" s="1"/>
  <c r="O19" i="42" s="1"/>
  <c r="A105" i="24"/>
  <c r="I104" i="25"/>
  <c r="G104" i="25" s="1"/>
  <c r="B104" i="25"/>
  <c r="I112" i="8"/>
  <c r="G112" i="8" s="1"/>
  <c r="B112" i="8"/>
  <c r="A113" i="2"/>
  <c r="I102" i="17"/>
  <c r="G102" i="17" s="1"/>
  <c r="B102" i="17"/>
  <c r="A103" i="16"/>
  <c r="A106" i="24" l="1"/>
  <c r="I105" i="25"/>
  <c r="G105" i="25" s="1"/>
  <c r="B105" i="25"/>
  <c r="I113" i="8"/>
  <c r="G113" i="8" s="1"/>
  <c r="B113" i="8"/>
  <c r="A114" i="2"/>
  <c r="B103" i="17"/>
  <c r="I103" i="17"/>
  <c r="G103" i="17" s="1"/>
  <c r="A104" i="16"/>
  <c r="A107" i="24" l="1"/>
  <c r="I106" i="25"/>
  <c r="G106" i="25" s="1"/>
  <c r="B106" i="25"/>
  <c r="I114" i="8"/>
  <c r="G114" i="8" s="1"/>
  <c r="B114" i="8"/>
  <c r="A115" i="2"/>
  <c r="I104" i="17"/>
  <c r="G104" i="17" s="1"/>
  <c r="B104" i="17"/>
  <c r="A105" i="16"/>
  <c r="A108" i="24" l="1"/>
  <c r="I107" i="25"/>
  <c r="G107" i="25" s="1"/>
  <c r="B107" i="25"/>
  <c r="I115" i="8"/>
  <c r="G115" i="8" s="1"/>
  <c r="B21" i="46" s="1"/>
  <c r="D21" i="46" s="1"/>
  <c r="B115" i="8"/>
  <c r="A116" i="2"/>
  <c r="I105" i="17"/>
  <c r="G105" i="17" s="1"/>
  <c r="B105" i="17"/>
  <c r="A106" i="16"/>
  <c r="A21" i="46" l="1"/>
  <c r="B21" i="42"/>
  <c r="C21" i="42" s="1"/>
  <c r="A21" i="42" s="1"/>
  <c r="A109" i="24"/>
  <c r="I108" i="25"/>
  <c r="G108" i="25" s="1"/>
  <c r="C20" i="48" s="1"/>
  <c r="D20" i="48" s="1"/>
  <c r="B108" i="25"/>
  <c r="I116" i="8"/>
  <c r="G116" i="8" s="1"/>
  <c r="B116" i="8"/>
  <c r="A117" i="2"/>
  <c r="I106" i="17"/>
  <c r="G106" i="17" s="1"/>
  <c r="B106" i="17"/>
  <c r="A107" i="16"/>
  <c r="B20" i="48" l="1"/>
  <c r="AD20" i="42"/>
  <c r="AE20" i="42" s="1"/>
  <c r="AC20" i="42" s="1"/>
  <c r="A110" i="24"/>
  <c r="I109" i="25"/>
  <c r="G109" i="25" s="1"/>
  <c r="B109" i="25"/>
  <c r="I117" i="8"/>
  <c r="G117" i="8" s="1"/>
  <c r="B117" i="8"/>
  <c r="A118" i="2"/>
  <c r="I107" i="17"/>
  <c r="G107" i="17" s="1"/>
  <c r="B107" i="17"/>
  <c r="A108" i="16"/>
  <c r="A111" i="24" l="1"/>
  <c r="I110" i="25"/>
  <c r="G110" i="25" s="1"/>
  <c r="B110" i="25"/>
  <c r="I118" i="8"/>
  <c r="G118" i="8" s="1"/>
  <c r="B118" i="8"/>
  <c r="A119" i="2"/>
  <c r="B108" i="17"/>
  <c r="I108" i="17"/>
  <c r="G108" i="17" s="1"/>
  <c r="C20" i="47" s="1"/>
  <c r="D20" i="47" s="1"/>
  <c r="A109" i="16"/>
  <c r="B20" i="47" l="1"/>
  <c r="P20" i="42"/>
  <c r="Q20" i="42" s="1"/>
  <c r="O20" i="42" s="1"/>
  <c r="A112" i="24"/>
  <c r="I111" i="25"/>
  <c r="G111" i="25" s="1"/>
  <c r="B111" i="25"/>
  <c r="I119" i="8"/>
  <c r="G119" i="8" s="1"/>
  <c r="B119" i="8"/>
  <c r="A120" i="2"/>
  <c r="I109" i="17"/>
  <c r="G109" i="17" s="1"/>
  <c r="B109" i="17"/>
  <c r="A110" i="16"/>
  <c r="A113" i="24" l="1"/>
  <c r="I112" i="25"/>
  <c r="G112" i="25" s="1"/>
  <c r="B112" i="25"/>
  <c r="I120" i="8"/>
  <c r="G120" i="8" s="1"/>
  <c r="B120" i="8"/>
  <c r="A121" i="2"/>
  <c r="I110" i="17"/>
  <c r="G110" i="17" s="1"/>
  <c r="B110" i="17"/>
  <c r="A111" i="16"/>
  <c r="A114" i="24" l="1"/>
  <c r="I113" i="25"/>
  <c r="G113" i="25" s="1"/>
  <c r="B113" i="25"/>
  <c r="I121" i="8"/>
  <c r="G121" i="8" s="1"/>
  <c r="B121" i="8"/>
  <c r="A122" i="2"/>
  <c r="B111" i="17"/>
  <c r="I111" i="17"/>
  <c r="G111" i="17" s="1"/>
  <c r="A112" i="16"/>
  <c r="A115" i="24" l="1"/>
  <c r="I114" i="25"/>
  <c r="G114" i="25" s="1"/>
  <c r="B114" i="25"/>
  <c r="I122" i="8"/>
  <c r="G122" i="8" s="1"/>
  <c r="B22" i="46" s="1"/>
  <c r="D22" i="46" s="1"/>
  <c r="B122" i="8"/>
  <c r="A123" i="2"/>
  <c r="B112" i="17"/>
  <c r="I112" i="17"/>
  <c r="G112" i="17" s="1"/>
  <c r="A113" i="16"/>
  <c r="A22" i="46" l="1"/>
  <c r="B22" i="42"/>
  <c r="C22" i="42" s="1"/>
  <c r="A22" i="42" s="1"/>
  <c r="A116" i="24"/>
  <c r="B115" i="25"/>
  <c r="I115" i="25"/>
  <c r="G115" i="25" s="1"/>
  <c r="C21" i="48" s="1"/>
  <c r="D21" i="48" s="1"/>
  <c r="I123" i="8"/>
  <c r="G123" i="8" s="1"/>
  <c r="B123" i="8"/>
  <c r="A124" i="2"/>
  <c r="B113" i="17"/>
  <c r="I113" i="17"/>
  <c r="G113" i="17" s="1"/>
  <c r="A114" i="16"/>
  <c r="B21" i="48" l="1"/>
  <c r="AD21" i="42"/>
  <c r="AE21" i="42" s="1"/>
  <c r="AC21" i="42" s="1"/>
  <c r="A117" i="24"/>
  <c r="I116" i="25"/>
  <c r="G116" i="25" s="1"/>
  <c r="B116" i="25"/>
  <c r="I124" i="8"/>
  <c r="G124" i="8" s="1"/>
  <c r="B124" i="8"/>
  <c r="A125" i="2"/>
  <c r="B114" i="17"/>
  <c r="I114" i="17"/>
  <c r="G114" i="17" s="1"/>
  <c r="A115" i="16"/>
  <c r="A118" i="24" l="1"/>
  <c r="B117" i="25"/>
  <c r="I117" i="25"/>
  <c r="G117" i="25" s="1"/>
  <c r="I125" i="8"/>
  <c r="G125" i="8" s="1"/>
  <c r="B125" i="8"/>
  <c r="A126" i="2"/>
  <c r="I115" i="17"/>
  <c r="G115" i="17" s="1"/>
  <c r="C21" i="47" s="1"/>
  <c r="D21" i="47" s="1"/>
  <c r="B115" i="17"/>
  <c r="A116" i="16"/>
  <c r="B21" i="47" l="1"/>
  <c r="P21" i="42"/>
  <c r="Q21" i="42" s="1"/>
  <c r="O21" i="42" s="1"/>
  <c r="A119" i="24"/>
  <c r="I118" i="25"/>
  <c r="G118" i="25" s="1"/>
  <c r="B118" i="25"/>
  <c r="I126" i="8"/>
  <c r="G126" i="8" s="1"/>
  <c r="B126" i="8"/>
  <c r="A127" i="2"/>
  <c r="B116" i="17"/>
  <c r="I116" i="17"/>
  <c r="G116" i="17" s="1"/>
  <c r="A117" i="16"/>
  <c r="A120" i="24" l="1"/>
  <c r="B119" i="25"/>
  <c r="I119" i="25"/>
  <c r="G119" i="25" s="1"/>
  <c r="I127" i="8"/>
  <c r="G127" i="8" s="1"/>
  <c r="B127" i="8"/>
  <c r="A128" i="2"/>
  <c r="B117" i="17"/>
  <c r="I117" i="17"/>
  <c r="G117" i="17" s="1"/>
  <c r="A118" i="16"/>
  <c r="A121" i="24" l="1"/>
  <c r="I120" i="25"/>
  <c r="G120" i="25" s="1"/>
  <c r="B120" i="25"/>
  <c r="I128" i="8"/>
  <c r="G128" i="8" s="1"/>
  <c r="B128" i="8"/>
  <c r="A129" i="2"/>
  <c r="I118" i="17"/>
  <c r="G118" i="17" s="1"/>
  <c r="B118" i="17"/>
  <c r="A119" i="16"/>
  <c r="A122" i="24" l="1"/>
  <c r="B121" i="25"/>
  <c r="I121" i="25"/>
  <c r="G121" i="25" s="1"/>
  <c r="I129" i="8"/>
  <c r="G129" i="8" s="1"/>
  <c r="B23" i="46" s="1"/>
  <c r="D23" i="46" s="1"/>
  <c r="B129" i="8"/>
  <c r="A130" i="2"/>
  <c r="B119" i="17"/>
  <c r="I119" i="17"/>
  <c r="G119" i="17" s="1"/>
  <c r="A120" i="16"/>
  <c r="A23" i="46" l="1"/>
  <c r="B23" i="42"/>
  <c r="C23" i="42" s="1"/>
  <c r="A123" i="24"/>
  <c r="I122" i="25"/>
  <c r="G122" i="25" s="1"/>
  <c r="C22" i="48" s="1"/>
  <c r="D22" i="48" s="1"/>
  <c r="B122" i="25"/>
  <c r="I130" i="8"/>
  <c r="G130" i="8" s="1"/>
  <c r="B130" i="8"/>
  <c r="A131" i="2"/>
  <c r="B120" i="17"/>
  <c r="I120" i="17"/>
  <c r="G120" i="17" s="1"/>
  <c r="A121" i="16"/>
  <c r="B22" i="48" l="1"/>
  <c r="AD22" i="42"/>
  <c r="AE22" i="42" s="1"/>
  <c r="AC22" i="42" s="1"/>
  <c r="A23" i="42"/>
  <c r="A124" i="24"/>
  <c r="I123" i="25"/>
  <c r="G123" i="25" s="1"/>
  <c r="B123" i="25"/>
  <c r="I131" i="8"/>
  <c r="G131" i="8" s="1"/>
  <c r="B131" i="8"/>
  <c r="A132" i="2"/>
  <c r="B121" i="17"/>
  <c r="I121" i="17"/>
  <c r="G121" i="17" s="1"/>
  <c r="A122" i="16"/>
  <c r="A125" i="24" l="1"/>
  <c r="I124" i="25"/>
  <c r="G124" i="25" s="1"/>
  <c r="B124" i="25"/>
  <c r="I132" i="8"/>
  <c r="G132" i="8" s="1"/>
  <c r="B132" i="8"/>
  <c r="A133" i="2"/>
  <c r="B122" i="17"/>
  <c r="I122" i="17"/>
  <c r="G122" i="17" s="1"/>
  <c r="C22" i="47" s="1"/>
  <c r="D22" i="47" s="1"/>
  <c r="A123" i="16"/>
  <c r="B22" i="47" l="1"/>
  <c r="P22" i="42"/>
  <c r="Q22" i="42" s="1"/>
  <c r="O22" i="42" s="1"/>
  <c r="A126" i="24"/>
  <c r="I125" i="25"/>
  <c r="G125" i="25" s="1"/>
  <c r="B125" i="25"/>
  <c r="I133" i="8"/>
  <c r="G133" i="8" s="1"/>
  <c r="B133" i="8"/>
  <c r="A134" i="2"/>
  <c r="B123" i="17"/>
  <c r="I123" i="17"/>
  <c r="G123" i="17" s="1"/>
  <c r="A124" i="16"/>
  <c r="A127" i="24" l="1"/>
  <c r="I126" i="25"/>
  <c r="G126" i="25" s="1"/>
  <c r="B126" i="25"/>
  <c r="I134" i="8"/>
  <c r="G134" i="8" s="1"/>
  <c r="B134" i="8"/>
  <c r="A135" i="2"/>
  <c r="I124" i="17"/>
  <c r="G124" i="17" s="1"/>
  <c r="B124" i="17"/>
  <c r="A125" i="16"/>
  <c r="A128" i="24" l="1"/>
  <c r="I127" i="25"/>
  <c r="G127" i="25" s="1"/>
  <c r="B127" i="25"/>
  <c r="I135" i="8"/>
  <c r="G135" i="8" s="1"/>
  <c r="B135" i="8"/>
  <c r="A136" i="2"/>
  <c r="B125" i="17"/>
  <c r="I125" i="17"/>
  <c r="G125" i="17" s="1"/>
  <c r="A126" i="16"/>
  <c r="A129" i="24" l="1"/>
  <c r="I128" i="25"/>
  <c r="G128" i="25" s="1"/>
  <c r="B128" i="25"/>
  <c r="I136" i="8"/>
  <c r="G136" i="8" s="1"/>
  <c r="B24" i="46" s="1"/>
  <c r="D24" i="46" s="1"/>
  <c r="B136" i="8"/>
  <c r="A137" i="2"/>
  <c r="B126" i="17"/>
  <c r="I126" i="17"/>
  <c r="G126" i="17" s="1"/>
  <c r="A127" i="16"/>
  <c r="A24" i="46" l="1"/>
  <c r="B24" i="42"/>
  <c r="C24" i="42" s="1"/>
  <c r="A24" i="42" s="1"/>
  <c r="A130" i="24"/>
  <c r="I129" i="25"/>
  <c r="G129" i="25" s="1"/>
  <c r="C23" i="48" s="1"/>
  <c r="D23" i="48" s="1"/>
  <c r="B129" i="25"/>
  <c r="I137" i="8"/>
  <c r="G137" i="8" s="1"/>
  <c r="B137" i="8"/>
  <c r="A138" i="2"/>
  <c r="B127" i="17"/>
  <c r="I127" i="17"/>
  <c r="G127" i="17" s="1"/>
  <c r="A128" i="16"/>
  <c r="B23" i="48" l="1"/>
  <c r="AD23" i="42"/>
  <c r="AE23" i="42" s="1"/>
  <c r="AC23" i="42" s="1"/>
  <c r="A131" i="24"/>
  <c r="I130" i="25"/>
  <c r="G130" i="25" s="1"/>
  <c r="B130" i="25"/>
  <c r="I138" i="8"/>
  <c r="G138" i="8" s="1"/>
  <c r="B138" i="8"/>
  <c r="A139" i="2"/>
  <c r="B128" i="17"/>
  <c r="I128" i="17"/>
  <c r="G128" i="17" s="1"/>
  <c r="A129" i="16"/>
  <c r="A132" i="24" l="1"/>
  <c r="I131" i="25"/>
  <c r="G131" i="25" s="1"/>
  <c r="B131" i="25"/>
  <c r="I139" i="8"/>
  <c r="G139" i="8" s="1"/>
  <c r="B139" i="8"/>
  <c r="A140" i="2"/>
  <c r="B129" i="17"/>
  <c r="I129" i="17"/>
  <c r="G129" i="17" s="1"/>
  <c r="C23" i="47" s="1"/>
  <c r="D23" i="47" s="1"/>
  <c r="A130" i="16"/>
  <c r="B23" i="47" l="1"/>
  <c r="P23" i="42"/>
  <c r="Q23" i="42" s="1"/>
  <c r="O23" i="42" s="1"/>
  <c r="A133" i="24"/>
  <c r="B132" i="25"/>
  <c r="I132" i="25"/>
  <c r="G132" i="25" s="1"/>
  <c r="B140" i="8"/>
  <c r="I140" i="8"/>
  <c r="G140" i="8" s="1"/>
  <c r="A141" i="2"/>
  <c r="I141" i="8" s="1"/>
  <c r="B130" i="17"/>
  <c r="I130" i="17"/>
  <c r="G130" i="17" s="1"/>
  <c r="A131" i="16"/>
  <c r="A134" i="24" l="1"/>
  <c r="I133" i="25"/>
  <c r="G133" i="25" s="1"/>
  <c r="B133" i="25"/>
  <c r="G141" i="8"/>
  <c r="B141" i="8"/>
  <c r="A142" i="2"/>
  <c r="B131" i="17"/>
  <c r="I131" i="17"/>
  <c r="G131" i="17" s="1"/>
  <c r="A132" i="16"/>
  <c r="A135" i="24" l="1"/>
  <c r="B134" i="25"/>
  <c r="I134" i="25"/>
  <c r="G134" i="25" s="1"/>
  <c r="I142" i="8"/>
  <c r="G142" i="8" s="1"/>
  <c r="B142" i="8"/>
  <c r="A143" i="2"/>
  <c r="I132" i="17"/>
  <c r="G132" i="17" s="1"/>
  <c r="B132" i="17"/>
  <c r="A133" i="16"/>
  <c r="A136" i="24" l="1"/>
  <c r="B135" i="25"/>
  <c r="I135" i="25"/>
  <c r="G135" i="25" s="1"/>
  <c r="I143" i="8"/>
  <c r="G143" i="8" s="1"/>
  <c r="B25" i="46" s="1"/>
  <c r="D25" i="46" s="1"/>
  <c r="B143" i="8"/>
  <c r="A144" i="2"/>
  <c r="B133" i="17"/>
  <c r="I133" i="17"/>
  <c r="G133" i="17" s="1"/>
  <c r="A134" i="16"/>
  <c r="A25" i="46" l="1"/>
  <c r="B25" i="42"/>
  <c r="C25" i="42" s="1"/>
  <c r="A25" i="42" s="1"/>
  <c r="A137" i="24"/>
  <c r="I136" i="25"/>
  <c r="G136" i="25" s="1"/>
  <c r="C24" i="48" s="1"/>
  <c r="D24" i="48" s="1"/>
  <c r="B136" i="25"/>
  <c r="I144" i="8"/>
  <c r="G144" i="8" s="1"/>
  <c r="B144" i="8"/>
  <c r="A145" i="2"/>
  <c r="I134" i="17"/>
  <c r="G134" i="17" s="1"/>
  <c r="B134" i="17"/>
  <c r="A135" i="16"/>
  <c r="B24" i="48" l="1"/>
  <c r="AD24" i="42"/>
  <c r="AE24" i="42" s="1"/>
  <c r="AC24" i="42" s="1"/>
  <c r="A138" i="24"/>
  <c r="I137" i="25"/>
  <c r="G137" i="25" s="1"/>
  <c r="B137" i="25"/>
  <c r="I145" i="8"/>
  <c r="G145" i="8" s="1"/>
  <c r="B145" i="8"/>
  <c r="A146" i="2"/>
  <c r="I135" i="17"/>
  <c r="G135" i="17" s="1"/>
  <c r="B135" i="17"/>
  <c r="A136" i="16"/>
  <c r="A139" i="24" l="1"/>
  <c r="I138" i="25"/>
  <c r="G138" i="25" s="1"/>
  <c r="B138" i="25"/>
  <c r="I146" i="8"/>
  <c r="G146" i="8" s="1"/>
  <c r="B146" i="8"/>
  <c r="A147" i="2"/>
  <c r="I136" i="17"/>
  <c r="G136" i="17" s="1"/>
  <c r="C24" i="47" s="1"/>
  <c r="D24" i="47" s="1"/>
  <c r="B136" i="17"/>
  <c r="A137" i="16"/>
  <c r="B24" i="47" l="1"/>
  <c r="P24" i="42"/>
  <c r="Q24" i="42" s="1"/>
  <c r="O24" i="42" s="1"/>
  <c r="A140" i="24"/>
  <c r="I139" i="25"/>
  <c r="G139" i="25" s="1"/>
  <c r="B139" i="25"/>
  <c r="I147" i="8"/>
  <c r="G147" i="8" s="1"/>
  <c r="B147" i="8"/>
  <c r="A148" i="2"/>
  <c r="B137" i="17"/>
  <c r="I137" i="17"/>
  <c r="G137" i="17" s="1"/>
  <c r="A138" i="16"/>
  <c r="A141" i="24" l="1"/>
  <c r="B140" i="25"/>
  <c r="I140" i="25"/>
  <c r="G140" i="25" s="1"/>
  <c r="B148" i="8"/>
  <c r="I148" i="8"/>
  <c r="G148" i="8" s="1"/>
  <c r="A149" i="2"/>
  <c r="B138" i="17"/>
  <c r="I138" i="17"/>
  <c r="G138" i="17" s="1"/>
  <c r="A139" i="16"/>
  <c r="A142" i="24" l="1"/>
  <c r="B141" i="25"/>
  <c r="I141" i="25"/>
  <c r="G141" i="25" s="1"/>
  <c r="I149" i="8"/>
  <c r="G149" i="8" s="1"/>
  <c r="B149" i="8"/>
  <c r="A150" i="2"/>
  <c r="I139" i="17"/>
  <c r="G139" i="17" s="1"/>
  <c r="B139" i="17"/>
  <c r="A140" i="16"/>
  <c r="A143" i="24" l="1"/>
  <c r="B142" i="25"/>
  <c r="I142" i="25"/>
  <c r="G142" i="25" s="1"/>
  <c r="I150" i="8"/>
  <c r="G150" i="8" s="1"/>
  <c r="B26" i="46" s="1"/>
  <c r="D26" i="46" s="1"/>
  <c r="B150" i="8"/>
  <c r="A151" i="2"/>
  <c r="I140" i="17"/>
  <c r="G140" i="17" s="1"/>
  <c r="B140" i="17"/>
  <c r="A141" i="16"/>
  <c r="A26" i="46" l="1"/>
  <c r="B26" i="42"/>
  <c r="C26" i="42" s="1"/>
  <c r="A26" i="42" s="1"/>
  <c r="A144" i="24"/>
  <c r="I143" i="25"/>
  <c r="G143" i="25" s="1"/>
  <c r="C25" i="48" s="1"/>
  <c r="D25" i="48" s="1"/>
  <c r="B143" i="25"/>
  <c r="I151" i="8"/>
  <c r="G151" i="8" s="1"/>
  <c r="B151" i="8"/>
  <c r="A152" i="2"/>
  <c r="B141" i="17"/>
  <c r="I141" i="17"/>
  <c r="G141" i="17" s="1"/>
  <c r="A142" i="16"/>
  <c r="B25" i="48" l="1"/>
  <c r="AD25" i="42"/>
  <c r="AE25" i="42" s="1"/>
  <c r="AC25" i="42" s="1"/>
  <c r="A145" i="24"/>
  <c r="B144" i="25"/>
  <c r="I144" i="25"/>
  <c r="G144" i="25" s="1"/>
  <c r="I152" i="8"/>
  <c r="G152" i="8" s="1"/>
  <c r="B152" i="8"/>
  <c r="A153" i="2"/>
  <c r="I142" i="17"/>
  <c r="G142" i="17" s="1"/>
  <c r="B142" i="17"/>
  <c r="A143" i="16"/>
  <c r="A146" i="24" l="1"/>
  <c r="I145" i="25"/>
  <c r="G145" i="25" s="1"/>
  <c r="B145" i="25"/>
  <c r="I153" i="8"/>
  <c r="G153" i="8" s="1"/>
  <c r="B153" i="8"/>
  <c r="A154" i="2"/>
  <c r="I143" i="17"/>
  <c r="G143" i="17" s="1"/>
  <c r="C25" i="47" s="1"/>
  <c r="D25" i="47" s="1"/>
  <c r="B143" i="17"/>
  <c r="A144" i="16"/>
  <c r="B25" i="47" l="1"/>
  <c r="P25" i="42"/>
  <c r="Q25" i="42" s="1"/>
  <c r="O25" i="42" s="1"/>
  <c r="A147" i="24"/>
  <c r="B146" i="25"/>
  <c r="I146" i="25"/>
  <c r="G146" i="25" s="1"/>
  <c r="I154" i="8"/>
  <c r="G154" i="8" s="1"/>
  <c r="B154" i="8"/>
  <c r="A155" i="2"/>
  <c r="I144" i="17"/>
  <c r="G144" i="17" s="1"/>
  <c r="B144" i="17"/>
  <c r="A145" i="16"/>
  <c r="A148" i="24" l="1"/>
  <c r="I147" i="25"/>
  <c r="G147" i="25" s="1"/>
  <c r="B147" i="25"/>
  <c r="I155" i="8"/>
  <c r="G155" i="8" s="1"/>
  <c r="B155" i="8"/>
  <c r="A156" i="2"/>
  <c r="B145" i="17"/>
  <c r="I145" i="17"/>
  <c r="G145" i="17" s="1"/>
  <c r="A146" i="16"/>
  <c r="A17" i="7"/>
  <c r="A149" i="24" l="1"/>
  <c r="B148" i="25"/>
  <c r="I148" i="25"/>
  <c r="G148" i="25" s="1"/>
  <c r="B156" i="8"/>
  <c r="I156" i="8"/>
  <c r="G156" i="8" s="1"/>
  <c r="A157" i="2"/>
  <c r="I146" i="17"/>
  <c r="G146" i="17" s="1"/>
  <c r="B146" i="17"/>
  <c r="A147" i="16"/>
  <c r="A150" i="24" l="1"/>
  <c r="I149" i="25"/>
  <c r="G149" i="25" s="1"/>
  <c r="B149" i="25"/>
  <c r="I157" i="8"/>
  <c r="G157" i="8" s="1"/>
  <c r="B27" i="46" s="1"/>
  <c r="D27" i="46" s="1"/>
  <c r="B157" i="8"/>
  <c r="A158" i="2"/>
  <c r="I147" i="17"/>
  <c r="G147" i="17" s="1"/>
  <c r="B147" i="17"/>
  <c r="C1" i="16"/>
  <c r="C1" i="24"/>
  <c r="A148" i="16"/>
  <c r="C1" i="2"/>
  <c r="A1" i="8" s="1"/>
  <c r="A27" i="46" l="1"/>
  <c r="B27" i="42"/>
  <c r="C27" i="42" s="1"/>
  <c r="A151" i="24"/>
  <c r="B151" i="24" s="1"/>
  <c r="I150" i="25"/>
  <c r="G150" i="25" s="1"/>
  <c r="C26" i="48" s="1"/>
  <c r="D26" i="48" s="1"/>
  <c r="B150" i="25"/>
  <c r="I158" i="8"/>
  <c r="G158" i="8" s="1"/>
  <c r="B158" i="8"/>
  <c r="A159" i="2"/>
  <c r="B148" i="17"/>
  <c r="I148" i="17"/>
  <c r="G148" i="17" s="1"/>
  <c r="E148" i="16"/>
  <c r="D148" i="16" s="1"/>
  <c r="E148" i="17" s="1"/>
  <c r="E76" i="24"/>
  <c r="E84" i="24"/>
  <c r="E92" i="24"/>
  <c r="E100" i="24"/>
  <c r="E108" i="24"/>
  <c r="E116" i="24"/>
  <c r="E124" i="24"/>
  <c r="E132" i="24"/>
  <c r="E140" i="24"/>
  <c r="E148" i="24"/>
  <c r="E71" i="24"/>
  <c r="E79" i="24"/>
  <c r="E87" i="24"/>
  <c r="E95" i="24"/>
  <c r="E103" i="24"/>
  <c r="E111" i="24"/>
  <c r="E119" i="24"/>
  <c r="E127" i="24"/>
  <c r="E135" i="24"/>
  <c r="E143" i="24"/>
  <c r="E72" i="24"/>
  <c r="E80" i="24"/>
  <c r="E88" i="24"/>
  <c r="E96" i="24"/>
  <c r="E104" i="24"/>
  <c r="E112" i="24"/>
  <c r="E120" i="24"/>
  <c r="E128" i="24"/>
  <c r="E136" i="24"/>
  <c r="E144" i="24"/>
  <c r="E73" i="24"/>
  <c r="E81" i="24"/>
  <c r="E89" i="24"/>
  <c r="E97" i="24"/>
  <c r="E105" i="24"/>
  <c r="E113" i="24"/>
  <c r="E121" i="24"/>
  <c r="E129" i="24"/>
  <c r="E137" i="24"/>
  <c r="E145" i="24"/>
  <c r="E74" i="24"/>
  <c r="E82" i="24"/>
  <c r="E90" i="24"/>
  <c r="E98" i="24"/>
  <c r="E106" i="24"/>
  <c r="E114" i="24"/>
  <c r="E122" i="24"/>
  <c r="E130" i="24"/>
  <c r="E138" i="24"/>
  <c r="E146" i="24"/>
  <c r="E86" i="24"/>
  <c r="E109" i="24"/>
  <c r="E131" i="24"/>
  <c r="E150" i="24"/>
  <c r="B134" i="24"/>
  <c r="B135" i="24"/>
  <c r="B110" i="24"/>
  <c r="A1" i="25"/>
  <c r="E91" i="24"/>
  <c r="E110" i="24"/>
  <c r="E133" i="24"/>
  <c r="B103" i="24"/>
  <c r="E93" i="24"/>
  <c r="E115" i="24"/>
  <c r="E134" i="24"/>
  <c r="E75" i="24"/>
  <c r="E94" i="24"/>
  <c r="E117" i="24"/>
  <c r="E139" i="24"/>
  <c r="B79" i="24"/>
  <c r="B111" i="24"/>
  <c r="B143" i="24"/>
  <c r="E99" i="24"/>
  <c r="E118" i="24"/>
  <c r="B118" i="24"/>
  <c r="B150" i="24"/>
  <c r="E77" i="24"/>
  <c r="E141" i="24"/>
  <c r="B86" i="24"/>
  <c r="B142" i="24"/>
  <c r="E78" i="24"/>
  <c r="E101" i="24"/>
  <c r="E123" i="24"/>
  <c r="E142" i="24"/>
  <c r="B87" i="24"/>
  <c r="B119" i="24"/>
  <c r="E107" i="24"/>
  <c r="E149" i="24"/>
  <c r="B95" i="24"/>
  <c r="B55" i="24"/>
  <c r="B71" i="24"/>
  <c r="E83" i="24"/>
  <c r="E102" i="24"/>
  <c r="E125" i="24"/>
  <c r="E147" i="24"/>
  <c r="B94" i="24"/>
  <c r="B126" i="24"/>
  <c r="E85" i="24"/>
  <c r="E126" i="24"/>
  <c r="B47" i="24"/>
  <c r="B127" i="24"/>
  <c r="B102" i="24"/>
  <c r="B63" i="24"/>
  <c r="B54" i="24"/>
  <c r="B125" i="24"/>
  <c r="B61" i="24"/>
  <c r="B116" i="24"/>
  <c r="B52" i="24"/>
  <c r="B115" i="24"/>
  <c r="B51" i="24"/>
  <c r="B138" i="24"/>
  <c r="B74" i="24"/>
  <c r="B129" i="24"/>
  <c r="B65" i="24"/>
  <c r="B120" i="24"/>
  <c r="B56" i="24"/>
  <c r="B117" i="24"/>
  <c r="B53" i="24"/>
  <c r="B108" i="24"/>
  <c r="B107" i="24"/>
  <c r="B130" i="24"/>
  <c r="B66" i="24"/>
  <c r="B62" i="24"/>
  <c r="B121" i="24"/>
  <c r="B57" i="24"/>
  <c r="B112" i="24"/>
  <c r="B48" i="24"/>
  <c r="B109" i="24"/>
  <c r="B45" i="24"/>
  <c r="B100" i="24"/>
  <c r="B99" i="24"/>
  <c r="B122" i="24"/>
  <c r="B58" i="24"/>
  <c r="B113" i="24"/>
  <c r="B49" i="24"/>
  <c r="B104" i="24"/>
  <c r="B101" i="24"/>
  <c r="B92" i="24"/>
  <c r="B91" i="24"/>
  <c r="B114" i="24"/>
  <c r="B50" i="24"/>
  <c r="B105" i="24"/>
  <c r="B96" i="24"/>
  <c r="B93" i="24"/>
  <c r="B148" i="24"/>
  <c r="B84" i="24"/>
  <c r="B147" i="24"/>
  <c r="B83" i="24"/>
  <c r="B106" i="24"/>
  <c r="B97" i="24"/>
  <c r="B88" i="24"/>
  <c r="B149" i="24"/>
  <c r="B85" i="24"/>
  <c r="B140" i="24"/>
  <c r="B76" i="24"/>
  <c r="B139" i="24"/>
  <c r="B75" i="24"/>
  <c r="B98" i="24"/>
  <c r="B89" i="24"/>
  <c r="B144" i="24"/>
  <c r="B80" i="24"/>
  <c r="B78" i="24"/>
  <c r="B133" i="24"/>
  <c r="B69" i="24"/>
  <c r="B124" i="24"/>
  <c r="B60" i="24"/>
  <c r="B123" i="24"/>
  <c r="B59" i="24"/>
  <c r="B46" i="24"/>
  <c r="B146" i="24"/>
  <c r="B82" i="24"/>
  <c r="B137" i="24"/>
  <c r="B73" i="24"/>
  <c r="B128" i="24"/>
  <c r="B64" i="24"/>
  <c r="B131" i="24"/>
  <c r="B67" i="24"/>
  <c r="B136" i="24"/>
  <c r="B141" i="24"/>
  <c r="B70" i="24"/>
  <c r="B72" i="24"/>
  <c r="B77" i="24"/>
  <c r="B90" i="24"/>
  <c r="B132" i="24"/>
  <c r="B68" i="24"/>
  <c r="B145" i="24"/>
  <c r="B81" i="24"/>
  <c r="A1" i="17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E71" i="16"/>
  <c r="B71" i="16"/>
  <c r="E72" i="16"/>
  <c r="B72" i="16"/>
  <c r="E73" i="16"/>
  <c r="B73" i="16"/>
  <c r="E74" i="16"/>
  <c r="B74" i="16"/>
  <c r="E75" i="16"/>
  <c r="B75" i="16"/>
  <c r="E76" i="16"/>
  <c r="B76" i="16"/>
  <c r="E77" i="16"/>
  <c r="B77" i="16"/>
  <c r="E78" i="16"/>
  <c r="B78" i="16"/>
  <c r="E79" i="16"/>
  <c r="B79" i="16"/>
  <c r="E80" i="16"/>
  <c r="B80" i="16"/>
  <c r="E81" i="16"/>
  <c r="B81" i="16"/>
  <c r="E82" i="16"/>
  <c r="B82" i="16"/>
  <c r="E83" i="16"/>
  <c r="B83" i="16"/>
  <c r="E84" i="16"/>
  <c r="B84" i="16"/>
  <c r="E85" i="16"/>
  <c r="B85" i="16"/>
  <c r="E86" i="16"/>
  <c r="B86" i="16"/>
  <c r="E87" i="16"/>
  <c r="B87" i="16"/>
  <c r="E88" i="16"/>
  <c r="B88" i="16"/>
  <c r="E89" i="16"/>
  <c r="B89" i="16"/>
  <c r="E90" i="16"/>
  <c r="B90" i="16"/>
  <c r="E91" i="16"/>
  <c r="B91" i="16"/>
  <c r="E92" i="16"/>
  <c r="B92" i="16"/>
  <c r="E93" i="16"/>
  <c r="B93" i="16"/>
  <c r="E94" i="16"/>
  <c r="B94" i="16"/>
  <c r="E95" i="16"/>
  <c r="B95" i="16"/>
  <c r="E96" i="16"/>
  <c r="B96" i="16"/>
  <c r="E97" i="16"/>
  <c r="B97" i="16"/>
  <c r="E98" i="16"/>
  <c r="B98" i="16"/>
  <c r="E99" i="16"/>
  <c r="B99" i="16"/>
  <c r="E100" i="16"/>
  <c r="B100" i="16"/>
  <c r="E101" i="16"/>
  <c r="B101" i="16"/>
  <c r="E102" i="16"/>
  <c r="B102" i="16"/>
  <c r="E103" i="16"/>
  <c r="B103" i="16"/>
  <c r="E104" i="16"/>
  <c r="B104" i="16"/>
  <c r="E105" i="16"/>
  <c r="B105" i="16"/>
  <c r="E106" i="16"/>
  <c r="B106" i="16"/>
  <c r="E107" i="16"/>
  <c r="B107" i="16"/>
  <c r="E108" i="16"/>
  <c r="B108" i="16"/>
  <c r="E109" i="16"/>
  <c r="B109" i="16"/>
  <c r="E110" i="16"/>
  <c r="B110" i="16"/>
  <c r="E111" i="16"/>
  <c r="B111" i="16"/>
  <c r="E112" i="16"/>
  <c r="B112" i="16"/>
  <c r="E113" i="16"/>
  <c r="B113" i="16"/>
  <c r="E114" i="16"/>
  <c r="B114" i="16"/>
  <c r="E115" i="16"/>
  <c r="B115" i="16"/>
  <c r="E116" i="16"/>
  <c r="B116" i="16"/>
  <c r="E117" i="16"/>
  <c r="B117" i="16"/>
  <c r="E118" i="16"/>
  <c r="B118" i="16"/>
  <c r="E119" i="16"/>
  <c r="B119" i="16"/>
  <c r="E120" i="16"/>
  <c r="B120" i="16"/>
  <c r="E121" i="16"/>
  <c r="B121" i="16"/>
  <c r="E122" i="16"/>
  <c r="B122" i="16"/>
  <c r="E123" i="16"/>
  <c r="B123" i="16"/>
  <c r="E124" i="16"/>
  <c r="B124" i="16"/>
  <c r="E125" i="16"/>
  <c r="B125" i="16"/>
  <c r="E126" i="16"/>
  <c r="B126" i="16"/>
  <c r="E127" i="16"/>
  <c r="B127" i="16"/>
  <c r="E128" i="16"/>
  <c r="B128" i="16"/>
  <c r="E129" i="16"/>
  <c r="B129" i="16"/>
  <c r="E130" i="16"/>
  <c r="B130" i="16"/>
  <c r="E131" i="16"/>
  <c r="B131" i="16"/>
  <c r="E132" i="16"/>
  <c r="B132" i="16"/>
  <c r="E133" i="16"/>
  <c r="B133" i="16"/>
  <c r="E134" i="16"/>
  <c r="B134" i="16"/>
  <c r="E135" i="16"/>
  <c r="B135" i="16"/>
  <c r="E136" i="16"/>
  <c r="B136" i="16"/>
  <c r="E137" i="16"/>
  <c r="B137" i="16"/>
  <c r="E138" i="16"/>
  <c r="B138" i="16"/>
  <c r="E139" i="16"/>
  <c r="B139" i="16"/>
  <c r="E140" i="16"/>
  <c r="B140" i="16"/>
  <c r="E141" i="16"/>
  <c r="B141" i="16"/>
  <c r="E142" i="16"/>
  <c r="B142" i="16"/>
  <c r="E143" i="16"/>
  <c r="B143" i="16"/>
  <c r="E144" i="16"/>
  <c r="B144" i="16"/>
  <c r="E145" i="16"/>
  <c r="B145" i="16"/>
  <c r="E146" i="16"/>
  <c r="D146" i="16" s="1"/>
  <c r="E146" i="17" s="1"/>
  <c r="B146" i="16"/>
  <c r="B147" i="16"/>
  <c r="A147" i="17" s="1"/>
  <c r="E147" i="16"/>
  <c r="D147" i="16" s="1"/>
  <c r="E147" i="17" s="1"/>
  <c r="A149" i="16"/>
  <c r="B148" i="16"/>
  <c r="A148" i="17" s="1"/>
  <c r="F71" i="2"/>
  <c r="F76" i="2"/>
  <c r="E81" i="2"/>
  <c r="D81" i="2" s="1"/>
  <c r="E81" i="8" s="1"/>
  <c r="F83" i="2"/>
  <c r="F90" i="2"/>
  <c r="E95" i="2"/>
  <c r="D95" i="2" s="1"/>
  <c r="E95" i="8" s="1"/>
  <c r="F97" i="2"/>
  <c r="E102" i="2"/>
  <c r="D102" i="2" s="1"/>
  <c r="E102" i="8" s="1"/>
  <c r="F104" i="2"/>
  <c r="E107" i="2"/>
  <c r="D107" i="2" s="1"/>
  <c r="E107" i="8" s="1"/>
  <c r="F109" i="2"/>
  <c r="E116" i="2"/>
  <c r="D116" i="2" s="1"/>
  <c r="E116" i="8" s="1"/>
  <c r="F118" i="2"/>
  <c r="E123" i="2"/>
  <c r="D123" i="2" s="1"/>
  <c r="E123" i="8" s="1"/>
  <c r="F125" i="2"/>
  <c r="E130" i="2"/>
  <c r="D130" i="2" s="1"/>
  <c r="E130" i="8" s="1"/>
  <c r="E135" i="2"/>
  <c r="D135" i="2" s="1"/>
  <c r="E135" i="8" s="1"/>
  <c r="F137" i="2"/>
  <c r="E142" i="2"/>
  <c r="D142" i="2" s="1"/>
  <c r="E142" i="8" s="1"/>
  <c r="F144" i="2"/>
  <c r="F149" i="2"/>
  <c r="E154" i="2"/>
  <c r="D154" i="2" s="1"/>
  <c r="E154" i="8" s="1"/>
  <c r="B52" i="2"/>
  <c r="A52" i="8" s="1"/>
  <c r="B60" i="2"/>
  <c r="A60" i="8" s="1"/>
  <c r="B68" i="2"/>
  <c r="A68" i="8" s="1"/>
  <c r="B76" i="2"/>
  <c r="A76" i="8" s="1"/>
  <c r="B84" i="2"/>
  <c r="A84" i="8" s="1"/>
  <c r="B92" i="2"/>
  <c r="A92" i="8" s="1"/>
  <c r="B100" i="2"/>
  <c r="A100" i="8" s="1"/>
  <c r="B108" i="2"/>
  <c r="A108" i="8" s="1"/>
  <c r="B116" i="2"/>
  <c r="A116" i="8" s="1"/>
  <c r="B124" i="2"/>
  <c r="A124" i="8" s="1"/>
  <c r="B132" i="2"/>
  <c r="A132" i="8" s="1"/>
  <c r="B140" i="2"/>
  <c r="A140" i="8" s="1"/>
  <c r="B148" i="2"/>
  <c r="A148" i="8" s="1"/>
  <c r="B156" i="2"/>
  <c r="A156" i="8" s="1"/>
  <c r="E74" i="2"/>
  <c r="D74" i="2" s="1"/>
  <c r="E74" i="8" s="1"/>
  <c r="E79" i="2"/>
  <c r="D79" i="2" s="1"/>
  <c r="E79" i="8" s="1"/>
  <c r="F81" i="2"/>
  <c r="E88" i="2"/>
  <c r="D88" i="2" s="1"/>
  <c r="E88" i="8" s="1"/>
  <c r="E93" i="2"/>
  <c r="D93" i="2" s="1"/>
  <c r="E93" i="8" s="1"/>
  <c r="F95" i="2"/>
  <c r="E100" i="2"/>
  <c r="D100" i="2" s="1"/>
  <c r="E100" i="8" s="1"/>
  <c r="F102" i="2"/>
  <c r="F107" i="2"/>
  <c r="E114" i="2"/>
  <c r="D114" i="2" s="1"/>
  <c r="E114" i="8" s="1"/>
  <c r="F116" i="2"/>
  <c r="E121" i="2"/>
  <c r="D121" i="2" s="1"/>
  <c r="E121" i="8" s="1"/>
  <c r="F123" i="2"/>
  <c r="E128" i="2"/>
  <c r="D128" i="2" s="1"/>
  <c r="E128" i="8" s="1"/>
  <c r="F130" i="2"/>
  <c r="E133" i="2"/>
  <c r="D133" i="2" s="1"/>
  <c r="E133" i="8" s="1"/>
  <c r="F135" i="2"/>
  <c r="E140" i="2"/>
  <c r="D140" i="2" s="1"/>
  <c r="E140" i="8" s="1"/>
  <c r="F142" i="2"/>
  <c r="E147" i="2"/>
  <c r="D147" i="2" s="1"/>
  <c r="E147" i="8" s="1"/>
  <c r="F154" i="2"/>
  <c r="E157" i="2"/>
  <c r="D157" i="2" s="1"/>
  <c r="E157" i="8" s="1"/>
  <c r="B45" i="2"/>
  <c r="A45" i="8" s="1"/>
  <c r="B53" i="2"/>
  <c r="A53" i="8" s="1"/>
  <c r="B61" i="2"/>
  <c r="A61" i="8" s="1"/>
  <c r="F74" i="2"/>
  <c r="E77" i="2"/>
  <c r="D77" i="2" s="1"/>
  <c r="E77" i="8" s="1"/>
  <c r="F79" i="2"/>
  <c r="E86" i="2"/>
  <c r="D86" i="2" s="1"/>
  <c r="E86" i="8" s="1"/>
  <c r="F88" i="2"/>
  <c r="E91" i="2"/>
  <c r="D91" i="2" s="1"/>
  <c r="E91" i="8" s="1"/>
  <c r="F93" i="2"/>
  <c r="E98" i="2"/>
  <c r="D98" i="2" s="1"/>
  <c r="E98" i="8" s="1"/>
  <c r="F100" i="2"/>
  <c r="E105" i="2"/>
  <c r="D105" i="2" s="1"/>
  <c r="E105" i="8" s="1"/>
  <c r="E112" i="2"/>
  <c r="D112" i="2" s="1"/>
  <c r="E112" i="8" s="1"/>
  <c r="F114" i="2"/>
  <c r="E119" i="2"/>
  <c r="D119" i="2" s="1"/>
  <c r="E119" i="8" s="1"/>
  <c r="F121" i="2"/>
  <c r="F128" i="2"/>
  <c r="F133" i="2"/>
  <c r="F140" i="2"/>
  <c r="E145" i="2"/>
  <c r="D145" i="2" s="1"/>
  <c r="E145" i="8" s="1"/>
  <c r="F147" i="2"/>
  <c r="E152" i="2"/>
  <c r="D152" i="2" s="1"/>
  <c r="E152" i="8" s="1"/>
  <c r="F157" i="2"/>
  <c r="B46" i="2"/>
  <c r="A46" i="8" s="1"/>
  <c r="B54" i="2"/>
  <c r="A54" i="8" s="1"/>
  <c r="B62" i="2"/>
  <c r="A62" i="8" s="1"/>
  <c r="B70" i="2"/>
  <c r="A70" i="8" s="1"/>
  <c r="B78" i="2"/>
  <c r="A78" i="8" s="1"/>
  <c r="B86" i="2"/>
  <c r="A86" i="8" s="1"/>
  <c r="B94" i="2"/>
  <c r="A94" i="8" s="1"/>
  <c r="B102" i="2"/>
  <c r="A102" i="8" s="1"/>
  <c r="B110" i="2"/>
  <c r="A110" i="8" s="1"/>
  <c r="B118" i="2"/>
  <c r="A118" i="8" s="1"/>
  <c r="B126" i="2"/>
  <c r="A126" i="8" s="1"/>
  <c r="B134" i="2"/>
  <c r="A134" i="8" s="1"/>
  <c r="B142" i="2"/>
  <c r="A142" i="8" s="1"/>
  <c r="B150" i="2"/>
  <c r="A150" i="8" s="1"/>
  <c r="B158" i="2"/>
  <c r="A158" i="8" s="1"/>
  <c r="E72" i="2"/>
  <c r="D72" i="2" s="1"/>
  <c r="E72" i="8" s="1"/>
  <c r="F77" i="2"/>
  <c r="E84" i="2"/>
  <c r="D84" i="2" s="1"/>
  <c r="E84" i="8" s="1"/>
  <c r="F86" i="2"/>
  <c r="F91" i="2"/>
  <c r="F98" i="2"/>
  <c r="E103" i="2"/>
  <c r="D103" i="2" s="1"/>
  <c r="E103" i="8" s="1"/>
  <c r="F105" i="2"/>
  <c r="E110" i="2"/>
  <c r="D110" i="2" s="1"/>
  <c r="E110" i="8" s="1"/>
  <c r="F112" i="2"/>
  <c r="E117" i="2"/>
  <c r="D117" i="2" s="1"/>
  <c r="E117" i="8" s="1"/>
  <c r="F119" i="2"/>
  <c r="E126" i="2"/>
  <c r="D126" i="2" s="1"/>
  <c r="E126" i="8" s="1"/>
  <c r="E131" i="2"/>
  <c r="D131" i="2" s="1"/>
  <c r="E131" i="8" s="1"/>
  <c r="E138" i="2"/>
  <c r="D138" i="2" s="1"/>
  <c r="E138" i="8" s="1"/>
  <c r="E143" i="2"/>
  <c r="D143" i="2" s="1"/>
  <c r="E143" i="8" s="1"/>
  <c r="F145" i="2"/>
  <c r="E150" i="2"/>
  <c r="D150" i="2" s="1"/>
  <c r="E150" i="8" s="1"/>
  <c r="F152" i="2"/>
  <c r="E155" i="2"/>
  <c r="D155" i="2" s="1"/>
  <c r="E155" i="8" s="1"/>
  <c r="B47" i="2"/>
  <c r="A47" i="8" s="1"/>
  <c r="B55" i="2"/>
  <c r="A55" i="8" s="1"/>
  <c r="B63" i="2"/>
  <c r="A63" i="8" s="1"/>
  <c r="F72" i="2"/>
  <c r="E75" i="2"/>
  <c r="D75" i="2" s="1"/>
  <c r="E75" i="8" s="1"/>
  <c r="E82" i="2"/>
  <c r="D82" i="2" s="1"/>
  <c r="E82" i="8" s="1"/>
  <c r="F84" i="2"/>
  <c r="E89" i="2"/>
  <c r="D89" i="2" s="1"/>
  <c r="E89" i="8" s="1"/>
  <c r="E96" i="2"/>
  <c r="D96" i="2" s="1"/>
  <c r="E96" i="8" s="1"/>
  <c r="E101" i="2"/>
  <c r="D101" i="2" s="1"/>
  <c r="E101" i="8" s="1"/>
  <c r="F103" i="2"/>
  <c r="E108" i="2"/>
  <c r="D108" i="2" s="1"/>
  <c r="E108" i="8" s="1"/>
  <c r="F110" i="2"/>
  <c r="E115" i="2"/>
  <c r="D115" i="2" s="1"/>
  <c r="E115" i="8" s="1"/>
  <c r="F117" i="2"/>
  <c r="E124" i="2"/>
  <c r="D124" i="2" s="1"/>
  <c r="E124" i="8" s="1"/>
  <c r="F126" i="2"/>
  <c r="E129" i="2"/>
  <c r="D129" i="2" s="1"/>
  <c r="E129" i="8" s="1"/>
  <c r="F131" i="2"/>
  <c r="E136" i="2"/>
  <c r="D136" i="2" s="1"/>
  <c r="E136" i="8" s="1"/>
  <c r="F138" i="2"/>
  <c r="E141" i="2"/>
  <c r="D141" i="2" s="1"/>
  <c r="E141" i="8" s="1"/>
  <c r="F143" i="2"/>
  <c r="E148" i="2"/>
  <c r="D148" i="2" s="1"/>
  <c r="E148" i="8" s="1"/>
  <c r="F150" i="2"/>
  <c r="F155" i="2"/>
  <c r="B48" i="2"/>
  <c r="A48" i="8" s="1"/>
  <c r="B56" i="2"/>
  <c r="A56" i="8" s="1"/>
  <c r="B64" i="2"/>
  <c r="A64" i="8" s="1"/>
  <c r="B72" i="2"/>
  <c r="A72" i="8" s="1"/>
  <c r="B80" i="2"/>
  <c r="A80" i="8" s="1"/>
  <c r="B88" i="2"/>
  <c r="A88" i="8" s="1"/>
  <c r="B96" i="2"/>
  <c r="A96" i="8" s="1"/>
  <c r="B104" i="2"/>
  <c r="A104" i="8" s="1"/>
  <c r="B112" i="2"/>
  <c r="A112" i="8" s="1"/>
  <c r="B120" i="2"/>
  <c r="A120" i="8" s="1"/>
  <c r="B128" i="2"/>
  <c r="A128" i="8" s="1"/>
  <c r="B136" i="2"/>
  <c r="A136" i="8" s="1"/>
  <c r="B144" i="2"/>
  <c r="A144" i="8" s="1"/>
  <c r="B152" i="2"/>
  <c r="A152" i="8" s="1"/>
  <c r="F75" i="2"/>
  <c r="E80" i="2"/>
  <c r="D80" i="2" s="1"/>
  <c r="E80" i="8" s="1"/>
  <c r="F82" i="2"/>
  <c r="E87" i="2"/>
  <c r="D87" i="2" s="1"/>
  <c r="E87" i="8" s="1"/>
  <c r="F89" i="2"/>
  <c r="E94" i="2"/>
  <c r="D94" i="2" s="1"/>
  <c r="E94" i="8" s="1"/>
  <c r="F96" i="2"/>
  <c r="E99" i="2"/>
  <c r="D99" i="2" s="1"/>
  <c r="E99" i="8" s="1"/>
  <c r="F101" i="2"/>
  <c r="E106" i="2"/>
  <c r="D106" i="2" s="1"/>
  <c r="E106" i="8" s="1"/>
  <c r="F108" i="2"/>
  <c r="E113" i="2"/>
  <c r="D113" i="2" s="1"/>
  <c r="E113" i="8" s="1"/>
  <c r="F115" i="2"/>
  <c r="E122" i="2"/>
  <c r="D122" i="2" s="1"/>
  <c r="E122" i="8" s="1"/>
  <c r="F124" i="2"/>
  <c r="F129" i="2"/>
  <c r="E134" i="2"/>
  <c r="D134" i="2" s="1"/>
  <c r="E134" i="8" s="1"/>
  <c r="F136" i="2"/>
  <c r="F141" i="2"/>
  <c r="F148" i="2"/>
  <c r="E153" i="2"/>
  <c r="D153" i="2" s="1"/>
  <c r="E153" i="8" s="1"/>
  <c r="E158" i="2"/>
  <c r="D158" i="2" s="1"/>
  <c r="E158" i="8" s="1"/>
  <c r="B49" i="2"/>
  <c r="A49" i="8" s="1"/>
  <c r="B57" i="2"/>
  <c r="A57" i="8" s="1"/>
  <c r="B65" i="2"/>
  <c r="A65" i="8" s="1"/>
  <c r="B73" i="2"/>
  <c r="A73" i="8" s="1"/>
  <c r="B81" i="2"/>
  <c r="A81" i="8" s="1"/>
  <c r="B89" i="2"/>
  <c r="A89" i="8" s="1"/>
  <c r="B97" i="2"/>
  <c r="A97" i="8" s="1"/>
  <c r="B105" i="2"/>
  <c r="A105" i="8" s="1"/>
  <c r="B113" i="2"/>
  <c r="A113" i="8" s="1"/>
  <c r="B121" i="2"/>
  <c r="A121" i="8" s="1"/>
  <c r="B129" i="2"/>
  <c r="A129" i="8" s="1"/>
  <c r="B137" i="2"/>
  <c r="A137" i="8" s="1"/>
  <c r="B145" i="2"/>
  <c r="A145" i="8" s="1"/>
  <c r="B153" i="2"/>
  <c r="A153" i="8" s="1"/>
  <c r="E71" i="2"/>
  <c r="D71" i="2" s="1"/>
  <c r="E71" i="8" s="1"/>
  <c r="F73" i="2"/>
  <c r="E76" i="2"/>
  <c r="D76" i="2" s="1"/>
  <c r="E76" i="8" s="1"/>
  <c r="F78" i="2"/>
  <c r="E83" i="2"/>
  <c r="D83" i="2" s="1"/>
  <c r="E83" i="8" s="1"/>
  <c r="F85" i="2"/>
  <c r="E90" i="2"/>
  <c r="D90" i="2" s="1"/>
  <c r="E90" i="8" s="1"/>
  <c r="F92" i="2"/>
  <c r="E97" i="2"/>
  <c r="D97" i="2" s="1"/>
  <c r="E97" i="8" s="1"/>
  <c r="E104" i="2"/>
  <c r="D104" i="2" s="1"/>
  <c r="E104" i="8" s="1"/>
  <c r="E109" i="2"/>
  <c r="D109" i="2" s="1"/>
  <c r="E109" i="8" s="1"/>
  <c r="F111" i="2"/>
  <c r="E118" i="2"/>
  <c r="D118" i="2" s="1"/>
  <c r="E118" i="8" s="1"/>
  <c r="F120" i="2"/>
  <c r="E125" i="2"/>
  <c r="D125" i="2" s="1"/>
  <c r="E125" i="8" s="1"/>
  <c r="F127" i="2"/>
  <c r="F132" i="2"/>
  <c r="E137" i="2"/>
  <c r="D137" i="2" s="1"/>
  <c r="E137" i="8" s="1"/>
  <c r="F139" i="2"/>
  <c r="E144" i="2"/>
  <c r="D144" i="2" s="1"/>
  <c r="E144" i="8" s="1"/>
  <c r="F146" i="2"/>
  <c r="E149" i="2"/>
  <c r="D149" i="2" s="1"/>
  <c r="E149" i="8" s="1"/>
  <c r="F151" i="2"/>
  <c r="F156" i="2"/>
  <c r="B51" i="2"/>
  <c r="A51" i="8" s="1"/>
  <c r="B59" i="2"/>
  <c r="A59" i="8" s="1"/>
  <c r="B67" i="2"/>
  <c r="A67" i="8" s="1"/>
  <c r="B75" i="2"/>
  <c r="A75" i="8" s="1"/>
  <c r="B83" i="2"/>
  <c r="A83" i="8" s="1"/>
  <c r="B91" i="2"/>
  <c r="A91" i="8" s="1"/>
  <c r="B99" i="2"/>
  <c r="A99" i="8" s="1"/>
  <c r="B107" i="2"/>
  <c r="A107" i="8" s="1"/>
  <c r="B115" i="2"/>
  <c r="A115" i="8" s="1"/>
  <c r="B123" i="2"/>
  <c r="A123" i="8" s="1"/>
  <c r="B131" i="2"/>
  <c r="A131" i="8" s="1"/>
  <c r="B139" i="2"/>
  <c r="A139" i="8" s="1"/>
  <c r="B147" i="2"/>
  <c r="A147" i="8" s="1"/>
  <c r="B155" i="2"/>
  <c r="A155" i="8" s="1"/>
  <c r="E120" i="2"/>
  <c r="D120" i="2" s="1"/>
  <c r="E120" i="8" s="1"/>
  <c r="E139" i="2"/>
  <c r="D139" i="2" s="1"/>
  <c r="E139" i="8" s="1"/>
  <c r="F158" i="2"/>
  <c r="B71" i="2"/>
  <c r="A71" i="8" s="1"/>
  <c r="B93" i="2"/>
  <c r="B114" i="2"/>
  <c r="A114" i="8" s="1"/>
  <c r="B135" i="2"/>
  <c r="A135" i="8" s="1"/>
  <c r="B157" i="2"/>
  <c r="A157" i="8" s="1"/>
  <c r="B154" i="2"/>
  <c r="A154" i="8" s="1"/>
  <c r="E85" i="2"/>
  <c r="D85" i="2" s="1"/>
  <c r="E85" i="8" s="1"/>
  <c r="F122" i="2"/>
  <c r="B74" i="2"/>
  <c r="A74" i="8" s="1"/>
  <c r="B95" i="2"/>
  <c r="A95" i="8" s="1"/>
  <c r="B117" i="2"/>
  <c r="A117" i="8" s="1"/>
  <c r="B138" i="2"/>
  <c r="A138" i="8" s="1"/>
  <c r="F99" i="2"/>
  <c r="F87" i="2"/>
  <c r="F106" i="2"/>
  <c r="B77" i="2"/>
  <c r="A77" i="8" s="1"/>
  <c r="B98" i="2"/>
  <c r="A98" i="8" s="1"/>
  <c r="B119" i="2"/>
  <c r="A119" i="8" s="1"/>
  <c r="B141" i="2"/>
  <c r="A141" i="8" s="1"/>
  <c r="E127" i="2"/>
  <c r="D127" i="2" s="1"/>
  <c r="E127" i="8" s="1"/>
  <c r="E146" i="2"/>
  <c r="D146" i="2" s="1"/>
  <c r="E146" i="8" s="1"/>
  <c r="B79" i="2"/>
  <c r="A79" i="8" s="1"/>
  <c r="B101" i="2"/>
  <c r="A101" i="8" s="1"/>
  <c r="B122" i="2"/>
  <c r="A122" i="8" s="1"/>
  <c r="B143" i="2"/>
  <c r="A143" i="8" s="1"/>
  <c r="F80" i="2"/>
  <c r="E73" i="2"/>
  <c r="D73" i="2" s="1"/>
  <c r="E73" i="8" s="1"/>
  <c r="E92" i="2"/>
  <c r="D92" i="2" s="1"/>
  <c r="E92" i="8" s="1"/>
  <c r="E111" i="2"/>
  <c r="D111" i="2" s="1"/>
  <c r="E111" i="8" s="1"/>
  <c r="B50" i="2"/>
  <c r="A50" i="8" s="1"/>
  <c r="B82" i="2"/>
  <c r="A82" i="8" s="1"/>
  <c r="B103" i="2"/>
  <c r="B125" i="2"/>
  <c r="A125" i="8" s="1"/>
  <c r="B146" i="2"/>
  <c r="A146" i="8" s="1"/>
  <c r="E156" i="2"/>
  <c r="D156" i="2" s="1"/>
  <c r="E156" i="8" s="1"/>
  <c r="B90" i="2"/>
  <c r="A90" i="8" s="1"/>
  <c r="F94" i="2"/>
  <c r="F113" i="2"/>
  <c r="E132" i="2"/>
  <c r="D132" i="2" s="1"/>
  <c r="E132" i="8" s="1"/>
  <c r="E151" i="2"/>
  <c r="D151" i="2" s="1"/>
  <c r="E151" i="8" s="1"/>
  <c r="B58" i="2"/>
  <c r="A58" i="8" s="1"/>
  <c r="B85" i="2"/>
  <c r="A85" i="8" s="1"/>
  <c r="B106" i="2"/>
  <c r="A106" i="8" s="1"/>
  <c r="B127" i="2"/>
  <c r="A127" i="8" s="1"/>
  <c r="B149" i="2"/>
  <c r="A149" i="8" s="1"/>
  <c r="B133" i="2"/>
  <c r="A133" i="8" s="1"/>
  <c r="E78" i="2"/>
  <c r="D78" i="2" s="1"/>
  <c r="E78" i="8" s="1"/>
  <c r="F134" i="2"/>
  <c r="F153" i="2"/>
  <c r="B66" i="2"/>
  <c r="A66" i="8" s="1"/>
  <c r="B87" i="2"/>
  <c r="A87" i="8" s="1"/>
  <c r="B109" i="2"/>
  <c r="A109" i="8" s="1"/>
  <c r="B130" i="2"/>
  <c r="A130" i="8" s="1"/>
  <c r="B151" i="2"/>
  <c r="A151" i="8" s="1"/>
  <c r="B69" i="2"/>
  <c r="A69" i="8" s="1"/>
  <c r="B111" i="2"/>
  <c r="A111" i="8" s="1"/>
  <c r="E151" i="24" l="1"/>
  <c r="B26" i="48"/>
  <c r="AD26" i="42"/>
  <c r="AE26" i="42" s="1"/>
  <c r="AC26" i="42" s="1"/>
  <c r="A27" i="42"/>
  <c r="E159" i="2"/>
  <c r="D159" i="2" s="1"/>
  <c r="E159" i="8" s="1"/>
  <c r="A152" i="24"/>
  <c r="B151" i="25"/>
  <c r="I151" i="25"/>
  <c r="G151" i="25" s="1"/>
  <c r="A151" i="25"/>
  <c r="B159" i="2"/>
  <c r="C159" i="2" s="1"/>
  <c r="C159" i="8" s="1"/>
  <c r="F159" i="2"/>
  <c r="C103" i="2"/>
  <c r="C103" i="8" s="1"/>
  <c r="A103" i="8"/>
  <c r="C93" i="2"/>
  <c r="C93" i="8" s="1"/>
  <c r="A93" i="8"/>
  <c r="I159" i="8"/>
  <c r="G159" i="8" s="1"/>
  <c r="B159" i="8"/>
  <c r="A160" i="2"/>
  <c r="C82" i="2"/>
  <c r="C82" i="8" s="1"/>
  <c r="E149" i="16"/>
  <c r="D149" i="16" s="1"/>
  <c r="E149" i="17" s="1"/>
  <c r="B149" i="17"/>
  <c r="I149" i="17"/>
  <c r="G149" i="17" s="1"/>
  <c r="C147" i="16"/>
  <c r="F147" i="16" s="1"/>
  <c r="C79" i="2"/>
  <c r="C79" i="8" s="1"/>
  <c r="C77" i="2"/>
  <c r="C77" i="8" s="1"/>
  <c r="D116" i="16"/>
  <c r="E116" i="17" s="1"/>
  <c r="D88" i="16"/>
  <c r="E88" i="17" s="1"/>
  <c r="C53" i="16"/>
  <c r="C53" i="17" s="1"/>
  <c r="A53" i="17"/>
  <c r="C144" i="24"/>
  <c r="C144" i="25" s="1"/>
  <c r="A144" i="25"/>
  <c r="C113" i="24"/>
  <c r="C113" i="25" s="1"/>
  <c r="A113" i="25"/>
  <c r="D139" i="24"/>
  <c r="E139" i="25" s="1"/>
  <c r="D116" i="24"/>
  <c r="E116" i="25" s="1"/>
  <c r="C144" i="16"/>
  <c r="C144" i="17" s="1"/>
  <c r="A144" i="17"/>
  <c r="A140" i="17"/>
  <c r="C140" i="16"/>
  <c r="C140" i="17" s="1"/>
  <c r="C136" i="16"/>
  <c r="C136" i="17" s="1"/>
  <c r="A136" i="17"/>
  <c r="A132" i="17"/>
  <c r="C132" i="16"/>
  <c r="C132" i="17" s="1"/>
  <c r="C128" i="16"/>
  <c r="C128" i="17" s="1"/>
  <c r="A128" i="17"/>
  <c r="C124" i="16"/>
  <c r="C124" i="17" s="1"/>
  <c r="A124" i="17"/>
  <c r="C120" i="16"/>
  <c r="C120" i="17" s="1"/>
  <c r="A120" i="17"/>
  <c r="A116" i="17"/>
  <c r="C116" i="16"/>
  <c r="C116" i="17" s="1"/>
  <c r="A112" i="17"/>
  <c r="C112" i="16"/>
  <c r="C112" i="17" s="1"/>
  <c r="A108" i="17"/>
  <c r="C108" i="16"/>
  <c r="C108" i="17" s="1"/>
  <c r="C104" i="16"/>
  <c r="C104" i="17" s="1"/>
  <c r="A104" i="17"/>
  <c r="C100" i="16"/>
  <c r="C100" i="17" s="1"/>
  <c r="A100" i="17"/>
  <c r="C96" i="16"/>
  <c r="C96" i="17" s="1"/>
  <c r="A96" i="17"/>
  <c r="A92" i="17"/>
  <c r="C92" i="16"/>
  <c r="C92" i="17" s="1"/>
  <c r="C88" i="16"/>
  <c r="C88" i="17" s="1"/>
  <c r="A88" i="17"/>
  <c r="A84" i="17"/>
  <c r="C84" i="16"/>
  <c r="C84" i="17" s="1"/>
  <c r="A80" i="17"/>
  <c r="C80" i="16"/>
  <c r="C80" i="17" s="1"/>
  <c r="A76" i="17"/>
  <c r="C76" i="16"/>
  <c r="C76" i="17" s="1"/>
  <c r="A72" i="17"/>
  <c r="C72" i="16"/>
  <c r="C72" i="17" s="1"/>
  <c r="C68" i="16"/>
  <c r="C68" i="17" s="1"/>
  <c r="A68" i="17"/>
  <c r="C62" i="16"/>
  <c r="C62" i="17" s="1"/>
  <c r="A62" i="17"/>
  <c r="C54" i="16"/>
  <c r="C54" i="17" s="1"/>
  <c r="A54" i="17"/>
  <c r="C46" i="16"/>
  <c r="C46" i="17" s="1"/>
  <c r="A46" i="17"/>
  <c r="C141" i="24"/>
  <c r="C141" i="25" s="1"/>
  <c r="A141" i="25"/>
  <c r="C73" i="24"/>
  <c r="C73" i="25" s="1"/>
  <c r="A73" i="25"/>
  <c r="C80" i="24"/>
  <c r="C80" i="25" s="1"/>
  <c r="A80" i="25"/>
  <c r="C149" i="24"/>
  <c r="C149" i="25" s="1"/>
  <c r="A149" i="25"/>
  <c r="C106" i="24"/>
  <c r="C106" i="25" s="1"/>
  <c r="A106" i="25"/>
  <c r="C92" i="24"/>
  <c r="C92" i="25" s="1"/>
  <c r="A92" i="25"/>
  <c r="C49" i="24"/>
  <c r="C49" i="25" s="1"/>
  <c r="A49" i="25"/>
  <c r="C112" i="24"/>
  <c r="C112" i="25" s="1"/>
  <c r="A112" i="25"/>
  <c r="C138" i="24"/>
  <c r="C138" i="25" s="1"/>
  <c r="A138" i="25"/>
  <c r="C61" i="24"/>
  <c r="C61" i="25" s="1"/>
  <c r="A61" i="25"/>
  <c r="D126" i="24"/>
  <c r="E126" i="25" s="1"/>
  <c r="D147" i="24"/>
  <c r="E147" i="25" s="1"/>
  <c r="C151" i="24"/>
  <c r="D78" i="24"/>
  <c r="E78" i="25" s="1"/>
  <c r="D77" i="24"/>
  <c r="E77" i="25" s="1"/>
  <c r="D99" i="24"/>
  <c r="E99" i="25" s="1"/>
  <c r="D122" i="24"/>
  <c r="E122" i="25" s="1"/>
  <c r="D105" i="24"/>
  <c r="E105" i="25" s="1"/>
  <c r="D88" i="24"/>
  <c r="E88" i="25" s="1"/>
  <c r="D135" i="24"/>
  <c r="E135" i="25" s="1"/>
  <c r="D71" i="24"/>
  <c r="E71" i="25" s="1"/>
  <c r="D124" i="24"/>
  <c r="E124" i="25" s="1"/>
  <c r="D124" i="16"/>
  <c r="E124" i="17" s="1"/>
  <c r="D96" i="16"/>
  <c r="E96" i="17" s="1"/>
  <c r="C136" i="24"/>
  <c r="C136" i="25" s="1"/>
  <c r="A136" i="25"/>
  <c r="D85" i="24"/>
  <c r="E85" i="25" s="1"/>
  <c r="D80" i="24"/>
  <c r="E80" i="25" s="1"/>
  <c r="C143" i="16"/>
  <c r="C143" i="17" s="1"/>
  <c r="A143" i="17"/>
  <c r="A139" i="17"/>
  <c r="C139" i="16"/>
  <c r="C139" i="17" s="1"/>
  <c r="C135" i="16"/>
  <c r="C135" i="17" s="1"/>
  <c r="A135" i="17"/>
  <c r="C131" i="16"/>
  <c r="C131" i="17" s="1"/>
  <c r="A131" i="17"/>
  <c r="C127" i="16"/>
  <c r="C127" i="17" s="1"/>
  <c r="A127" i="17"/>
  <c r="C123" i="16"/>
  <c r="C123" i="17" s="1"/>
  <c r="A123" i="17"/>
  <c r="C119" i="16"/>
  <c r="C119" i="17" s="1"/>
  <c r="A119" i="17"/>
  <c r="A115" i="17"/>
  <c r="C115" i="16"/>
  <c r="C115" i="17" s="1"/>
  <c r="A111" i="17"/>
  <c r="C111" i="16"/>
  <c r="C111" i="17" s="1"/>
  <c r="C107" i="16"/>
  <c r="C107" i="17" s="1"/>
  <c r="A107" i="17"/>
  <c r="A103" i="17"/>
  <c r="C103" i="16"/>
  <c r="C103" i="17" s="1"/>
  <c r="C99" i="16"/>
  <c r="C99" i="17" s="1"/>
  <c r="A99" i="17"/>
  <c r="A95" i="17"/>
  <c r="C95" i="16"/>
  <c r="C95" i="17" s="1"/>
  <c r="C91" i="16"/>
  <c r="C91" i="17" s="1"/>
  <c r="A91" i="17"/>
  <c r="A87" i="17"/>
  <c r="C87" i="16"/>
  <c r="C87" i="17" s="1"/>
  <c r="C83" i="16"/>
  <c r="C83" i="17" s="1"/>
  <c r="A83" i="17"/>
  <c r="A79" i="17"/>
  <c r="C79" i="16"/>
  <c r="C79" i="17" s="1"/>
  <c r="A75" i="17"/>
  <c r="C75" i="16"/>
  <c r="C75" i="17" s="1"/>
  <c r="C71" i="16"/>
  <c r="C71" i="17" s="1"/>
  <c r="A71" i="17"/>
  <c r="A67" i="17"/>
  <c r="C67" i="16"/>
  <c r="C67" i="17" s="1"/>
  <c r="C60" i="16"/>
  <c r="C60" i="17" s="1"/>
  <c r="A60" i="17"/>
  <c r="C52" i="16"/>
  <c r="C52" i="17" s="1"/>
  <c r="A52" i="17"/>
  <c r="C90" i="24"/>
  <c r="C90" i="25" s="1"/>
  <c r="A90" i="25"/>
  <c r="C67" i="24"/>
  <c r="C67" i="25" s="1"/>
  <c r="A67" i="25"/>
  <c r="C124" i="24"/>
  <c r="C124" i="25" s="1"/>
  <c r="A124" i="25"/>
  <c r="C139" i="24"/>
  <c r="C139" i="25" s="1"/>
  <c r="A139" i="25"/>
  <c r="C88" i="24"/>
  <c r="C88" i="25" s="1"/>
  <c r="A88" i="25"/>
  <c r="C114" i="24"/>
  <c r="C114" i="25" s="1"/>
  <c r="A114" i="25"/>
  <c r="C100" i="24"/>
  <c r="C100" i="25" s="1"/>
  <c r="A100" i="25"/>
  <c r="C57" i="24"/>
  <c r="C57" i="25" s="1"/>
  <c r="A57" i="25"/>
  <c r="C120" i="24"/>
  <c r="C120" i="25" s="1"/>
  <c r="A120" i="25"/>
  <c r="C51" i="24"/>
  <c r="C51" i="25" s="1"/>
  <c r="A51" i="25"/>
  <c r="C54" i="24"/>
  <c r="C54" i="25" s="1"/>
  <c r="A54" i="25"/>
  <c r="D102" i="24"/>
  <c r="E102" i="25" s="1"/>
  <c r="C87" i="24"/>
  <c r="C87" i="25" s="1"/>
  <c r="A87" i="25"/>
  <c r="D117" i="24"/>
  <c r="E117" i="25" s="1"/>
  <c r="C103" i="24"/>
  <c r="C103" i="25" s="1"/>
  <c r="A103" i="25"/>
  <c r="D131" i="24"/>
  <c r="E131" i="25" s="1"/>
  <c r="D106" i="24"/>
  <c r="E106" i="25" s="1"/>
  <c r="D89" i="24"/>
  <c r="E89" i="25" s="1"/>
  <c r="D136" i="24"/>
  <c r="E136" i="25" s="1"/>
  <c r="D72" i="24"/>
  <c r="E72" i="25" s="1"/>
  <c r="D119" i="24"/>
  <c r="E119" i="25" s="1"/>
  <c r="D108" i="24"/>
  <c r="E108" i="25" s="1"/>
  <c r="D140" i="16"/>
  <c r="E140" i="17" s="1"/>
  <c r="D112" i="16"/>
  <c r="E112" i="17" s="1"/>
  <c r="D84" i="16"/>
  <c r="E84" i="17" s="1"/>
  <c r="A45" i="17"/>
  <c r="C107" i="24"/>
  <c r="C107" i="25" s="1"/>
  <c r="A107" i="25"/>
  <c r="C55" i="24"/>
  <c r="C55" i="25" s="1"/>
  <c r="A55" i="25"/>
  <c r="D150" i="24"/>
  <c r="E150" i="25" s="1"/>
  <c r="D144" i="24"/>
  <c r="E144" i="25" s="1"/>
  <c r="D143" i="16"/>
  <c r="E143" i="17" s="1"/>
  <c r="D139" i="16"/>
  <c r="E139" i="17" s="1"/>
  <c r="D135" i="16"/>
  <c r="E135" i="17" s="1"/>
  <c r="D131" i="16"/>
  <c r="E131" i="17" s="1"/>
  <c r="D127" i="16"/>
  <c r="E127" i="17" s="1"/>
  <c r="D123" i="16"/>
  <c r="E123" i="17" s="1"/>
  <c r="D119" i="16"/>
  <c r="E119" i="17" s="1"/>
  <c r="D115" i="16"/>
  <c r="E115" i="17" s="1"/>
  <c r="D111" i="16"/>
  <c r="E111" i="17" s="1"/>
  <c r="D107" i="16"/>
  <c r="E107" i="17" s="1"/>
  <c r="D103" i="16"/>
  <c r="E103" i="17" s="1"/>
  <c r="D99" i="16"/>
  <c r="E99" i="17" s="1"/>
  <c r="D95" i="16"/>
  <c r="E95" i="17" s="1"/>
  <c r="D91" i="16"/>
  <c r="E91" i="17" s="1"/>
  <c r="D87" i="16"/>
  <c r="E87" i="17" s="1"/>
  <c r="D83" i="16"/>
  <c r="E83" i="17" s="1"/>
  <c r="D79" i="16"/>
  <c r="E79" i="17" s="1"/>
  <c r="D75" i="16"/>
  <c r="E75" i="17" s="1"/>
  <c r="D71" i="16"/>
  <c r="E71" i="17" s="1"/>
  <c r="C59" i="16"/>
  <c r="C59" i="17" s="1"/>
  <c r="A59" i="17"/>
  <c r="C51" i="16"/>
  <c r="C51" i="17" s="1"/>
  <c r="A51" i="17"/>
  <c r="C82" i="24"/>
  <c r="C82" i="25" s="1"/>
  <c r="A82" i="25"/>
  <c r="C89" i="24"/>
  <c r="C89" i="25" s="1"/>
  <c r="A89" i="25"/>
  <c r="C83" i="24"/>
  <c r="C83" i="25" s="1"/>
  <c r="A83" i="25"/>
  <c r="C101" i="24"/>
  <c r="C101" i="25" s="1"/>
  <c r="A101" i="25"/>
  <c r="C58" i="24"/>
  <c r="C58" i="25" s="1"/>
  <c r="A58" i="25"/>
  <c r="C121" i="24"/>
  <c r="C121" i="25" s="1"/>
  <c r="A121" i="25"/>
  <c r="C115" i="24"/>
  <c r="C115" i="25" s="1"/>
  <c r="A115" i="25"/>
  <c r="C63" i="24"/>
  <c r="C63" i="25" s="1"/>
  <c r="A63" i="25"/>
  <c r="D83" i="24"/>
  <c r="E83" i="25" s="1"/>
  <c r="C95" i="24"/>
  <c r="C95" i="25" s="1"/>
  <c r="A95" i="25"/>
  <c r="C150" i="24"/>
  <c r="C150" i="25" s="1"/>
  <c r="A150" i="25"/>
  <c r="D94" i="24"/>
  <c r="E94" i="25" s="1"/>
  <c r="D134" i="24"/>
  <c r="E134" i="25" s="1"/>
  <c r="D109" i="24"/>
  <c r="E109" i="25" s="1"/>
  <c r="D98" i="24"/>
  <c r="E98" i="25" s="1"/>
  <c r="D145" i="24"/>
  <c r="E145" i="25" s="1"/>
  <c r="D81" i="24"/>
  <c r="E81" i="25" s="1"/>
  <c r="D128" i="24"/>
  <c r="E128" i="25" s="1"/>
  <c r="D111" i="24"/>
  <c r="E111" i="25" s="1"/>
  <c r="D100" i="24"/>
  <c r="E100" i="25" s="1"/>
  <c r="D136" i="16"/>
  <c r="E136" i="17" s="1"/>
  <c r="D108" i="16"/>
  <c r="E108" i="17" s="1"/>
  <c r="D80" i="16"/>
  <c r="E80" i="17" s="1"/>
  <c r="C75" i="24"/>
  <c r="C75" i="25" s="1"/>
  <c r="A75" i="25"/>
  <c r="C50" i="24"/>
  <c r="C50" i="25" s="1"/>
  <c r="A50" i="25"/>
  <c r="C56" i="24"/>
  <c r="C56" i="25" s="1"/>
  <c r="A56" i="25"/>
  <c r="D114" i="24"/>
  <c r="E114" i="25" s="1"/>
  <c r="A146" i="17"/>
  <c r="C146" i="16"/>
  <c r="C146" i="17" s="1"/>
  <c r="A142" i="17"/>
  <c r="C142" i="16"/>
  <c r="C142" i="17" s="1"/>
  <c r="C138" i="16"/>
  <c r="C138" i="17" s="1"/>
  <c r="A138" i="17"/>
  <c r="C134" i="16"/>
  <c r="C134" i="17" s="1"/>
  <c r="A134" i="17"/>
  <c r="A130" i="17"/>
  <c r="C130" i="16"/>
  <c r="C130" i="17" s="1"/>
  <c r="C126" i="16"/>
  <c r="C126" i="17" s="1"/>
  <c r="A126" i="17"/>
  <c r="C122" i="16"/>
  <c r="C122" i="17" s="1"/>
  <c r="A122" i="17"/>
  <c r="C118" i="16"/>
  <c r="C118" i="17" s="1"/>
  <c r="A118" i="17"/>
  <c r="C114" i="16"/>
  <c r="C114" i="17" s="1"/>
  <c r="A114" i="17"/>
  <c r="C110" i="16"/>
  <c r="C110" i="17" s="1"/>
  <c r="A110" i="17"/>
  <c r="C106" i="16"/>
  <c r="C106" i="17" s="1"/>
  <c r="A106" i="17"/>
  <c r="A102" i="17"/>
  <c r="C102" i="16"/>
  <c r="C102" i="17" s="1"/>
  <c r="C98" i="16"/>
  <c r="C98" i="17" s="1"/>
  <c r="A98" i="17"/>
  <c r="A94" i="17"/>
  <c r="C94" i="16"/>
  <c r="C94" i="17" s="1"/>
  <c r="A90" i="17"/>
  <c r="C90" i="16"/>
  <c r="C90" i="17" s="1"/>
  <c r="C86" i="16"/>
  <c r="C86" i="17" s="1"/>
  <c r="A86" i="17"/>
  <c r="A82" i="17"/>
  <c r="C82" i="16"/>
  <c r="C82" i="17" s="1"/>
  <c r="C78" i="16"/>
  <c r="C78" i="17" s="1"/>
  <c r="A78" i="17"/>
  <c r="A74" i="17"/>
  <c r="C74" i="16"/>
  <c r="C74" i="17" s="1"/>
  <c r="A70" i="17"/>
  <c r="C70" i="16"/>
  <c r="C70" i="17" s="1"/>
  <c r="C66" i="16"/>
  <c r="C66" i="17" s="1"/>
  <c r="A66" i="17"/>
  <c r="C58" i="16"/>
  <c r="C58" i="17" s="1"/>
  <c r="A58" i="17"/>
  <c r="C50" i="16"/>
  <c r="C50" i="17" s="1"/>
  <c r="A50" i="17"/>
  <c r="C81" i="24"/>
  <c r="C81" i="25" s="1"/>
  <c r="A81" i="25"/>
  <c r="C131" i="24"/>
  <c r="C131" i="25" s="1"/>
  <c r="A131" i="25"/>
  <c r="C146" i="24"/>
  <c r="C146" i="25" s="1"/>
  <c r="A146" i="25"/>
  <c r="C69" i="24"/>
  <c r="C69" i="25" s="1"/>
  <c r="A69" i="25"/>
  <c r="C76" i="24"/>
  <c r="C76" i="25" s="1"/>
  <c r="A76" i="25"/>
  <c r="C147" i="24"/>
  <c r="C147" i="25" s="1"/>
  <c r="A147" i="25"/>
  <c r="C96" i="24"/>
  <c r="C96" i="25" s="1"/>
  <c r="A96" i="25"/>
  <c r="C122" i="24"/>
  <c r="C122" i="25" s="1"/>
  <c r="A122" i="25"/>
  <c r="A45" i="25"/>
  <c r="C62" i="24"/>
  <c r="C62" i="25" s="1"/>
  <c r="A62" i="25"/>
  <c r="C108" i="24"/>
  <c r="C108" i="25" s="1"/>
  <c r="A108" i="25"/>
  <c r="C65" i="24"/>
  <c r="C65" i="25" s="1"/>
  <c r="A65" i="25"/>
  <c r="C102" i="24"/>
  <c r="C102" i="25" s="1"/>
  <c r="A102" i="25"/>
  <c r="C126" i="24"/>
  <c r="C126" i="25" s="1"/>
  <c r="A126" i="25"/>
  <c r="D149" i="24"/>
  <c r="E149" i="25" s="1"/>
  <c r="C142" i="24"/>
  <c r="C142" i="25" s="1"/>
  <c r="A142" i="25"/>
  <c r="C118" i="24"/>
  <c r="C118" i="25" s="1"/>
  <c r="A118" i="25"/>
  <c r="C143" i="24"/>
  <c r="C143" i="25" s="1"/>
  <c r="A143" i="25"/>
  <c r="D75" i="24"/>
  <c r="E75" i="25" s="1"/>
  <c r="D115" i="24"/>
  <c r="E115" i="25" s="1"/>
  <c r="D86" i="24"/>
  <c r="E86" i="25" s="1"/>
  <c r="D90" i="24"/>
  <c r="E90" i="25" s="1"/>
  <c r="D137" i="24"/>
  <c r="E137" i="25" s="1"/>
  <c r="D73" i="24"/>
  <c r="E73" i="25" s="1"/>
  <c r="D120" i="24"/>
  <c r="E120" i="25" s="1"/>
  <c r="D103" i="24"/>
  <c r="E103" i="25" s="1"/>
  <c r="D92" i="24"/>
  <c r="E92" i="25" s="1"/>
  <c r="D128" i="16"/>
  <c r="E128" i="17" s="1"/>
  <c r="D100" i="16"/>
  <c r="E100" i="17" s="1"/>
  <c r="D72" i="16"/>
  <c r="E72" i="17" s="1"/>
  <c r="C60" i="24"/>
  <c r="C60" i="25" s="1"/>
  <c r="A60" i="25"/>
  <c r="C119" i="24"/>
  <c r="C119" i="25" s="1"/>
  <c r="A119" i="25"/>
  <c r="D142" i="16"/>
  <c r="E142" i="17" s="1"/>
  <c r="D138" i="16"/>
  <c r="E138" i="17" s="1"/>
  <c r="D134" i="16"/>
  <c r="E134" i="17" s="1"/>
  <c r="D130" i="16"/>
  <c r="E130" i="17" s="1"/>
  <c r="D126" i="16"/>
  <c r="E126" i="17" s="1"/>
  <c r="D122" i="16"/>
  <c r="E122" i="17" s="1"/>
  <c r="D118" i="16"/>
  <c r="E118" i="17" s="1"/>
  <c r="D114" i="16"/>
  <c r="E114" i="17" s="1"/>
  <c r="D110" i="16"/>
  <c r="E110" i="17" s="1"/>
  <c r="D106" i="16"/>
  <c r="E106" i="17" s="1"/>
  <c r="D102" i="16"/>
  <c r="E102" i="17" s="1"/>
  <c r="D98" i="16"/>
  <c r="E98" i="17" s="1"/>
  <c r="D94" i="16"/>
  <c r="E94" i="17" s="1"/>
  <c r="D90" i="16"/>
  <c r="E90" i="17" s="1"/>
  <c r="D86" i="16"/>
  <c r="E86" i="17" s="1"/>
  <c r="D82" i="16"/>
  <c r="E82" i="17" s="1"/>
  <c r="D78" i="16"/>
  <c r="E78" i="17" s="1"/>
  <c r="D74" i="16"/>
  <c r="E74" i="17" s="1"/>
  <c r="C65" i="16"/>
  <c r="C65" i="17" s="1"/>
  <c r="A65" i="17"/>
  <c r="C57" i="16"/>
  <c r="C57" i="17" s="1"/>
  <c r="A57" i="17"/>
  <c r="C49" i="16"/>
  <c r="C49" i="17" s="1"/>
  <c r="A49" i="17"/>
  <c r="C145" i="24"/>
  <c r="C145" i="25" s="1"/>
  <c r="A145" i="25"/>
  <c r="C77" i="24"/>
  <c r="C77" i="25" s="1"/>
  <c r="A77" i="25"/>
  <c r="C64" i="24"/>
  <c r="C64" i="25" s="1"/>
  <c r="A64" i="25"/>
  <c r="C46" i="24"/>
  <c r="C46" i="25" s="1"/>
  <c r="A46" i="25"/>
  <c r="C133" i="24"/>
  <c r="C133" i="25" s="1"/>
  <c r="A133" i="25"/>
  <c r="C140" i="24"/>
  <c r="C140" i="25" s="1"/>
  <c r="A140" i="25"/>
  <c r="C97" i="24"/>
  <c r="C97" i="25" s="1"/>
  <c r="A97" i="25"/>
  <c r="C91" i="24"/>
  <c r="C91" i="25" s="1"/>
  <c r="A91" i="25"/>
  <c r="C109" i="24"/>
  <c r="C109" i="25" s="1"/>
  <c r="A109" i="25"/>
  <c r="C66" i="24"/>
  <c r="C66" i="25" s="1"/>
  <c r="A66" i="25"/>
  <c r="C129" i="24"/>
  <c r="C129" i="25" s="1"/>
  <c r="A129" i="25"/>
  <c r="C52" i="24"/>
  <c r="C52" i="25" s="1"/>
  <c r="A52" i="25"/>
  <c r="C127" i="24"/>
  <c r="C127" i="25" s="1"/>
  <c r="A127" i="25"/>
  <c r="C94" i="24"/>
  <c r="C94" i="25" s="1"/>
  <c r="A94" i="25"/>
  <c r="D107" i="24"/>
  <c r="E107" i="25" s="1"/>
  <c r="D142" i="24"/>
  <c r="E142" i="25" s="1"/>
  <c r="C111" i="24"/>
  <c r="C111" i="25" s="1"/>
  <c r="A111" i="25"/>
  <c r="D93" i="24"/>
  <c r="E93" i="25" s="1"/>
  <c r="D133" i="24"/>
  <c r="E133" i="25" s="1"/>
  <c r="C110" i="24"/>
  <c r="C110" i="25" s="1"/>
  <c r="A110" i="25"/>
  <c r="D146" i="24"/>
  <c r="E146" i="25" s="1"/>
  <c r="D82" i="24"/>
  <c r="E82" i="25" s="1"/>
  <c r="D129" i="24"/>
  <c r="E129" i="25" s="1"/>
  <c r="D112" i="24"/>
  <c r="E112" i="25" s="1"/>
  <c r="D95" i="24"/>
  <c r="E95" i="25" s="1"/>
  <c r="D148" i="24"/>
  <c r="E148" i="25" s="1"/>
  <c r="D84" i="24"/>
  <c r="E84" i="25" s="1"/>
  <c r="D144" i="16"/>
  <c r="E144" i="17" s="1"/>
  <c r="D120" i="16"/>
  <c r="E120" i="17" s="1"/>
  <c r="D92" i="16"/>
  <c r="E92" i="17" s="1"/>
  <c r="C61" i="16"/>
  <c r="C61" i="17" s="1"/>
  <c r="A61" i="17"/>
  <c r="C132" i="24"/>
  <c r="C132" i="25" s="1"/>
  <c r="A132" i="25"/>
  <c r="D125" i="24"/>
  <c r="E125" i="25" s="1"/>
  <c r="D127" i="24"/>
  <c r="E127" i="25" s="1"/>
  <c r="C145" i="16"/>
  <c r="C145" i="17" s="1"/>
  <c r="A145" i="17"/>
  <c r="C141" i="16"/>
  <c r="C141" i="17" s="1"/>
  <c r="A141" i="17"/>
  <c r="A137" i="17"/>
  <c r="C137" i="16"/>
  <c r="C137" i="17" s="1"/>
  <c r="C133" i="16"/>
  <c r="C133" i="17" s="1"/>
  <c r="A133" i="17"/>
  <c r="C129" i="16"/>
  <c r="C129" i="17" s="1"/>
  <c r="A129" i="17"/>
  <c r="A125" i="17"/>
  <c r="C125" i="16"/>
  <c r="C125" i="17" s="1"/>
  <c r="C121" i="16"/>
  <c r="C121" i="17" s="1"/>
  <c r="A121" i="17"/>
  <c r="C117" i="16"/>
  <c r="C117" i="17" s="1"/>
  <c r="A117" i="17"/>
  <c r="A113" i="17"/>
  <c r="C113" i="16"/>
  <c r="C113" i="17" s="1"/>
  <c r="A109" i="17"/>
  <c r="C109" i="16"/>
  <c r="C109" i="17" s="1"/>
  <c r="A105" i="17"/>
  <c r="C105" i="16"/>
  <c r="C105" i="17" s="1"/>
  <c r="C101" i="16"/>
  <c r="C101" i="17" s="1"/>
  <c r="A101" i="17"/>
  <c r="A97" i="17"/>
  <c r="C97" i="16"/>
  <c r="C97" i="17" s="1"/>
  <c r="A93" i="17"/>
  <c r="C93" i="16"/>
  <c r="C93" i="17" s="1"/>
  <c r="C89" i="16"/>
  <c r="C89" i="17" s="1"/>
  <c r="A89" i="17"/>
  <c r="A85" i="17"/>
  <c r="C85" i="16"/>
  <c r="C85" i="17" s="1"/>
  <c r="C81" i="16"/>
  <c r="C81" i="17" s="1"/>
  <c r="A81" i="17"/>
  <c r="C77" i="16"/>
  <c r="C77" i="17" s="1"/>
  <c r="A77" i="17"/>
  <c r="C73" i="16"/>
  <c r="C73" i="17" s="1"/>
  <c r="A73" i="17"/>
  <c r="C69" i="16"/>
  <c r="C69" i="17" s="1"/>
  <c r="A69" i="17"/>
  <c r="C64" i="16"/>
  <c r="C64" i="17" s="1"/>
  <c r="A64" i="17"/>
  <c r="C56" i="16"/>
  <c r="C56" i="17" s="1"/>
  <c r="A56" i="17"/>
  <c r="C48" i="16"/>
  <c r="C48" i="17" s="1"/>
  <c r="A48" i="17"/>
  <c r="C68" i="24"/>
  <c r="C68" i="25" s="1"/>
  <c r="A68" i="25"/>
  <c r="C72" i="24"/>
  <c r="C72" i="25" s="1"/>
  <c r="A72" i="25"/>
  <c r="C128" i="24"/>
  <c r="C128" i="25" s="1"/>
  <c r="A128" i="25"/>
  <c r="C59" i="24"/>
  <c r="C59" i="25" s="1"/>
  <c r="A59" i="25"/>
  <c r="C78" i="24"/>
  <c r="C78" i="25" s="1"/>
  <c r="A78" i="25"/>
  <c r="C98" i="24"/>
  <c r="C98" i="25" s="1"/>
  <c r="A98" i="25"/>
  <c r="C84" i="24"/>
  <c r="C84" i="25" s="1"/>
  <c r="A84" i="25"/>
  <c r="C104" i="24"/>
  <c r="C104" i="25" s="1"/>
  <c r="A104" i="25"/>
  <c r="C130" i="24"/>
  <c r="C130" i="25" s="1"/>
  <c r="A130" i="25"/>
  <c r="C53" i="24"/>
  <c r="C53" i="25" s="1"/>
  <c r="A53" i="25"/>
  <c r="C116" i="24"/>
  <c r="C116" i="25" s="1"/>
  <c r="A116" i="25"/>
  <c r="C47" i="24"/>
  <c r="C47" i="25" s="1"/>
  <c r="A47" i="25"/>
  <c r="D123" i="24"/>
  <c r="E123" i="25" s="1"/>
  <c r="C86" i="24"/>
  <c r="C86" i="25" s="1"/>
  <c r="A86" i="25"/>
  <c r="C79" i="24"/>
  <c r="C79" i="25" s="1"/>
  <c r="A79" i="25"/>
  <c r="D110" i="24"/>
  <c r="E110" i="25" s="1"/>
  <c r="C135" i="24"/>
  <c r="C135" i="25" s="1"/>
  <c r="A135" i="25"/>
  <c r="D138" i="24"/>
  <c r="E138" i="25" s="1"/>
  <c r="D74" i="24"/>
  <c r="E74" i="25" s="1"/>
  <c r="D121" i="24"/>
  <c r="E121" i="25" s="1"/>
  <c r="D104" i="24"/>
  <c r="E104" i="25" s="1"/>
  <c r="D151" i="24"/>
  <c r="E151" i="25" s="1"/>
  <c r="D87" i="24"/>
  <c r="E87" i="25" s="1"/>
  <c r="D140" i="24"/>
  <c r="E140" i="25" s="1"/>
  <c r="D76" i="24"/>
  <c r="E76" i="25" s="1"/>
  <c r="D132" i="16"/>
  <c r="E132" i="17" s="1"/>
  <c r="D104" i="16"/>
  <c r="E104" i="17" s="1"/>
  <c r="D76" i="16"/>
  <c r="E76" i="17" s="1"/>
  <c r="C137" i="24"/>
  <c r="C137" i="25" s="1"/>
  <c r="A137" i="25"/>
  <c r="C93" i="24"/>
  <c r="C93" i="25" s="1"/>
  <c r="A93" i="25"/>
  <c r="C125" i="24"/>
  <c r="C125" i="25" s="1"/>
  <c r="A125" i="25"/>
  <c r="D97" i="24"/>
  <c r="E97" i="25" s="1"/>
  <c r="D145" i="16"/>
  <c r="E145" i="17" s="1"/>
  <c r="D141" i="16"/>
  <c r="E141" i="17" s="1"/>
  <c r="D137" i="16"/>
  <c r="E137" i="17" s="1"/>
  <c r="D133" i="16"/>
  <c r="E133" i="17" s="1"/>
  <c r="D129" i="16"/>
  <c r="E129" i="17" s="1"/>
  <c r="D125" i="16"/>
  <c r="E125" i="17" s="1"/>
  <c r="D121" i="16"/>
  <c r="E121" i="17" s="1"/>
  <c r="D117" i="16"/>
  <c r="E117" i="17" s="1"/>
  <c r="D113" i="16"/>
  <c r="E113" i="17" s="1"/>
  <c r="D109" i="16"/>
  <c r="E109" i="17" s="1"/>
  <c r="D105" i="16"/>
  <c r="E105" i="17" s="1"/>
  <c r="D101" i="16"/>
  <c r="E101" i="17" s="1"/>
  <c r="D97" i="16"/>
  <c r="E97" i="17" s="1"/>
  <c r="D93" i="16"/>
  <c r="E93" i="17" s="1"/>
  <c r="D89" i="16"/>
  <c r="E89" i="17" s="1"/>
  <c r="D85" i="16"/>
  <c r="E85" i="17" s="1"/>
  <c r="D81" i="16"/>
  <c r="E81" i="17" s="1"/>
  <c r="D77" i="16"/>
  <c r="E77" i="17" s="1"/>
  <c r="D73" i="16"/>
  <c r="E73" i="17" s="1"/>
  <c r="C63" i="16"/>
  <c r="C63" i="17" s="1"/>
  <c r="A63" i="17"/>
  <c r="C55" i="16"/>
  <c r="C55" i="17" s="1"/>
  <c r="A55" i="17"/>
  <c r="C47" i="16"/>
  <c r="C47" i="17" s="1"/>
  <c r="A47" i="17"/>
  <c r="C70" i="24"/>
  <c r="C70" i="25" s="1"/>
  <c r="A70" i="25"/>
  <c r="C123" i="24"/>
  <c r="C123" i="25" s="1"/>
  <c r="A123" i="25"/>
  <c r="C85" i="24"/>
  <c r="C85" i="25" s="1"/>
  <c r="A85" i="25"/>
  <c r="C148" i="24"/>
  <c r="C148" i="25" s="1"/>
  <c r="A148" i="25"/>
  <c r="C105" i="24"/>
  <c r="C105" i="25" s="1"/>
  <c r="A105" i="25"/>
  <c r="C99" i="24"/>
  <c r="C99" i="25" s="1"/>
  <c r="A99" i="25"/>
  <c r="C48" i="24"/>
  <c r="C48" i="25" s="1"/>
  <c r="A48" i="25"/>
  <c r="C117" i="24"/>
  <c r="C117" i="25" s="1"/>
  <c r="A117" i="25"/>
  <c r="C74" i="24"/>
  <c r="C74" i="25" s="1"/>
  <c r="A74" i="25"/>
  <c r="C71" i="24"/>
  <c r="C71" i="25" s="1"/>
  <c r="A71" i="25"/>
  <c r="D101" i="24"/>
  <c r="E101" i="25" s="1"/>
  <c r="D141" i="24"/>
  <c r="E141" i="25" s="1"/>
  <c r="D118" i="24"/>
  <c r="E118" i="25" s="1"/>
  <c r="D91" i="24"/>
  <c r="E91" i="25" s="1"/>
  <c r="C134" i="24"/>
  <c r="C134" i="25" s="1"/>
  <c r="A134" i="25"/>
  <c r="D130" i="24"/>
  <c r="E130" i="25" s="1"/>
  <c r="D113" i="24"/>
  <c r="E113" i="25" s="1"/>
  <c r="D96" i="24"/>
  <c r="E96" i="25" s="1"/>
  <c r="D143" i="24"/>
  <c r="E143" i="25" s="1"/>
  <c r="D79" i="24"/>
  <c r="E79" i="25" s="1"/>
  <c r="D132" i="24"/>
  <c r="E132" i="25" s="1"/>
  <c r="C58" i="2"/>
  <c r="C58" i="8" s="1"/>
  <c r="C109" i="2"/>
  <c r="C109" i="8" s="1"/>
  <c r="C55" i="2"/>
  <c r="C55" i="8" s="1"/>
  <c r="C101" i="2"/>
  <c r="C101" i="8" s="1"/>
  <c r="C129" i="2"/>
  <c r="C129" i="8" s="1"/>
  <c r="C65" i="2"/>
  <c r="C65" i="8" s="1"/>
  <c r="C95" i="2"/>
  <c r="C95" i="8" s="1"/>
  <c r="C146" i="2"/>
  <c r="C146" i="8" s="1"/>
  <c r="A150" i="16"/>
  <c r="B149" i="16"/>
  <c r="A149" i="17" s="1"/>
  <c r="C148" i="16"/>
  <c r="C148" i="17" s="1"/>
  <c r="C111" i="2"/>
  <c r="C111" i="8" s="1"/>
  <c r="C54" i="2"/>
  <c r="C54" i="8" s="1"/>
  <c r="C117" i="2"/>
  <c r="C117" i="8" s="1"/>
  <c r="C153" i="2"/>
  <c r="C153" i="8" s="1"/>
  <c r="C89" i="2"/>
  <c r="C89" i="8" s="1"/>
  <c r="C119" i="2"/>
  <c r="C119" i="8" s="1"/>
  <c r="C53" i="2"/>
  <c r="C53" i="8" s="1"/>
  <c r="C106" i="2"/>
  <c r="C106" i="8" s="1"/>
  <c r="C47" i="2"/>
  <c r="C47" i="8" s="1"/>
  <c r="C145" i="2"/>
  <c r="C145" i="8" s="1"/>
  <c r="C81" i="2"/>
  <c r="C81" i="8" s="1"/>
  <c r="C98" i="2"/>
  <c r="C98" i="8" s="1"/>
  <c r="C125" i="2"/>
  <c r="C125" i="8" s="1"/>
  <c r="C97" i="2"/>
  <c r="C97" i="8" s="1"/>
  <c r="C114" i="2"/>
  <c r="C114" i="8" s="1"/>
  <c r="C61" i="2"/>
  <c r="C61" i="8" s="1"/>
  <c r="C127" i="2"/>
  <c r="C127" i="8" s="1"/>
  <c r="C50" i="2"/>
  <c r="C50" i="8" s="1"/>
  <c r="C63" i="2"/>
  <c r="C63" i="8" s="1"/>
  <c r="C48" i="2"/>
  <c r="C48" i="8" s="1"/>
  <c r="C133" i="2"/>
  <c r="C133" i="8" s="1"/>
  <c r="C105" i="2"/>
  <c r="C105" i="8" s="1"/>
  <c r="C69" i="2"/>
  <c r="C69" i="8" s="1"/>
  <c r="C135" i="2"/>
  <c r="C135" i="8" s="1"/>
  <c r="C122" i="2"/>
  <c r="C122" i="8" s="1"/>
  <c r="C71" i="2"/>
  <c r="C71" i="8" s="1"/>
  <c r="C137" i="2"/>
  <c r="C137" i="8" s="1"/>
  <c r="C73" i="2"/>
  <c r="C73" i="8" s="1"/>
  <c r="C90" i="2"/>
  <c r="C90" i="8" s="1"/>
  <c r="C62" i="2"/>
  <c r="C62" i="8" s="1"/>
  <c r="C151" i="2"/>
  <c r="C151" i="8" s="1"/>
  <c r="C85" i="2"/>
  <c r="C85" i="8" s="1"/>
  <c r="C138" i="2"/>
  <c r="C138" i="8" s="1"/>
  <c r="C147" i="2"/>
  <c r="C147" i="8" s="1"/>
  <c r="C83" i="2"/>
  <c r="C83" i="8" s="1"/>
  <c r="C112" i="2"/>
  <c r="C112" i="8" s="1"/>
  <c r="C142" i="2"/>
  <c r="C142" i="8" s="1"/>
  <c r="C140" i="2"/>
  <c r="C140" i="8" s="1"/>
  <c r="C76" i="2"/>
  <c r="C76" i="8" s="1"/>
  <c r="C121" i="2"/>
  <c r="C121" i="8" s="1"/>
  <c r="C57" i="2"/>
  <c r="C57" i="8" s="1"/>
  <c r="C87" i="2"/>
  <c r="C87" i="8" s="1"/>
  <c r="C74" i="2"/>
  <c r="C74" i="8" s="1"/>
  <c r="C46" i="2"/>
  <c r="C46" i="8" s="1"/>
  <c r="C149" i="2"/>
  <c r="C149" i="8" s="1"/>
  <c r="C64" i="2"/>
  <c r="C64" i="8" s="1"/>
  <c r="C155" i="2"/>
  <c r="C155" i="8" s="1"/>
  <c r="C91" i="2"/>
  <c r="C91" i="8" s="1"/>
  <c r="C120" i="2"/>
  <c r="C120" i="8" s="1"/>
  <c r="C56" i="2"/>
  <c r="C56" i="8" s="1"/>
  <c r="C150" i="2"/>
  <c r="C150" i="8" s="1"/>
  <c r="C86" i="2"/>
  <c r="C86" i="8" s="1"/>
  <c r="C148" i="2"/>
  <c r="C148" i="8" s="1"/>
  <c r="C84" i="2"/>
  <c r="C84" i="8" s="1"/>
  <c r="C78" i="2"/>
  <c r="C78" i="8" s="1"/>
  <c r="C130" i="2"/>
  <c r="C130" i="8" s="1"/>
  <c r="C139" i="2"/>
  <c r="C139" i="8" s="1"/>
  <c r="C75" i="2"/>
  <c r="C75" i="8" s="1"/>
  <c r="C104" i="2"/>
  <c r="C104" i="8" s="1"/>
  <c r="C134" i="2"/>
  <c r="C134" i="8" s="1"/>
  <c r="C70" i="2"/>
  <c r="C70" i="8" s="1"/>
  <c r="C132" i="2"/>
  <c r="C132" i="8" s="1"/>
  <c r="C68" i="2"/>
  <c r="C68" i="8" s="1"/>
  <c r="C131" i="2"/>
  <c r="C131" i="8" s="1"/>
  <c r="C67" i="2"/>
  <c r="C67" i="8" s="1"/>
  <c r="C113" i="2"/>
  <c r="C113" i="8" s="1"/>
  <c r="C49" i="2"/>
  <c r="C49" i="8" s="1"/>
  <c r="C96" i="2"/>
  <c r="C96" i="8" s="1"/>
  <c r="C126" i="2"/>
  <c r="C126" i="8" s="1"/>
  <c r="C124" i="2"/>
  <c r="C124" i="8" s="1"/>
  <c r="C60" i="2"/>
  <c r="C60" i="8" s="1"/>
  <c r="C157" i="2"/>
  <c r="C157" i="8" s="1"/>
  <c r="C123" i="2"/>
  <c r="C123" i="8" s="1"/>
  <c r="C59" i="2"/>
  <c r="C59" i="8" s="1"/>
  <c r="C152" i="2"/>
  <c r="C152" i="8" s="1"/>
  <c r="C88" i="2"/>
  <c r="C88" i="8" s="1"/>
  <c r="C118" i="2"/>
  <c r="C118" i="8" s="1"/>
  <c r="C116" i="2"/>
  <c r="C116" i="8" s="1"/>
  <c r="C52" i="2"/>
  <c r="C52" i="8" s="1"/>
  <c r="C154" i="2"/>
  <c r="C154" i="8" s="1"/>
  <c r="C66" i="2"/>
  <c r="C66" i="8" s="1"/>
  <c r="C115" i="2"/>
  <c r="C115" i="8" s="1"/>
  <c r="C51" i="2"/>
  <c r="C51" i="8" s="1"/>
  <c r="C144" i="2"/>
  <c r="C144" i="8" s="1"/>
  <c r="C80" i="2"/>
  <c r="C80" i="8" s="1"/>
  <c r="C110" i="2"/>
  <c r="C110" i="8" s="1"/>
  <c r="C108" i="2"/>
  <c r="C108" i="8" s="1"/>
  <c r="C143" i="2"/>
  <c r="C143" i="8" s="1"/>
  <c r="C141" i="2"/>
  <c r="C141" i="8" s="1"/>
  <c r="C107" i="2"/>
  <c r="C107" i="8" s="1"/>
  <c r="C136" i="2"/>
  <c r="C136" i="8" s="1"/>
  <c r="C72" i="2"/>
  <c r="C72" i="8" s="1"/>
  <c r="C102" i="2"/>
  <c r="C102" i="8" s="1"/>
  <c r="C100" i="2"/>
  <c r="C100" i="8" s="1"/>
  <c r="C99" i="2"/>
  <c r="C99" i="8" s="1"/>
  <c r="C128" i="2"/>
  <c r="C128" i="8" s="1"/>
  <c r="C158" i="2"/>
  <c r="C158" i="8" s="1"/>
  <c r="C94" i="2"/>
  <c r="C94" i="8" s="1"/>
  <c r="C156" i="2"/>
  <c r="C156" i="8" s="1"/>
  <c r="C92" i="2"/>
  <c r="C92" i="8" s="1"/>
  <c r="F151" i="24" l="1"/>
  <c r="A159" i="8"/>
  <c r="C151" i="25"/>
  <c r="A153" i="24"/>
  <c r="I152" i="25"/>
  <c r="G152" i="25" s="1"/>
  <c r="B152" i="25"/>
  <c r="E152" i="24"/>
  <c r="D152" i="24" s="1"/>
  <c r="E152" i="25" s="1"/>
  <c r="B152" i="24"/>
  <c r="C152" i="24" s="1"/>
  <c r="F76" i="16"/>
  <c r="F103" i="24"/>
  <c r="F100" i="16"/>
  <c r="C147" i="17"/>
  <c r="F131" i="16"/>
  <c r="F92" i="16"/>
  <c r="F114" i="24"/>
  <c r="F140" i="16"/>
  <c r="F108" i="16"/>
  <c r="F87" i="16"/>
  <c r="I160" i="8"/>
  <c r="G160" i="8" s="1"/>
  <c r="B160" i="8"/>
  <c r="A161" i="2"/>
  <c r="F160" i="2"/>
  <c r="E160" i="2"/>
  <c r="D160" i="2" s="1"/>
  <c r="E160" i="8" s="1"/>
  <c r="B160" i="2"/>
  <c r="C160" i="2" s="1"/>
  <c r="C160" i="8" s="1"/>
  <c r="F97" i="24"/>
  <c r="F127" i="16"/>
  <c r="F95" i="24"/>
  <c r="F101" i="24"/>
  <c r="E150" i="16"/>
  <c r="D150" i="16" s="1"/>
  <c r="E150" i="17" s="1"/>
  <c r="I150" i="17"/>
  <c r="G150" i="17" s="1"/>
  <c r="C26" i="47" s="1"/>
  <c r="D26" i="47" s="1"/>
  <c r="B150" i="17"/>
  <c r="F110" i="24"/>
  <c r="F140" i="24"/>
  <c r="F103" i="16"/>
  <c r="F93" i="16"/>
  <c r="F141" i="24"/>
  <c r="F121" i="24"/>
  <c r="F86" i="16"/>
  <c r="F75" i="16"/>
  <c r="F107" i="24"/>
  <c r="F132" i="16"/>
  <c r="F87" i="24"/>
  <c r="F144" i="24"/>
  <c r="F143" i="24"/>
  <c r="F82" i="16"/>
  <c r="F84" i="16"/>
  <c r="F92" i="24"/>
  <c r="F143" i="16"/>
  <c r="F110" i="16"/>
  <c r="F106" i="24"/>
  <c r="F129" i="16"/>
  <c r="F115" i="24"/>
  <c r="F91" i="24"/>
  <c r="F73" i="24"/>
  <c r="F102" i="16"/>
  <c r="F149" i="24"/>
  <c r="F85" i="16"/>
  <c r="F138" i="24"/>
  <c r="F106" i="16"/>
  <c r="F100" i="24"/>
  <c r="F91" i="16"/>
  <c r="F113" i="16"/>
  <c r="F133" i="24"/>
  <c r="F96" i="24"/>
  <c r="F142" i="24"/>
  <c r="F123" i="16"/>
  <c r="F130" i="24"/>
  <c r="F145" i="16"/>
  <c r="F79" i="24"/>
  <c r="F97" i="16"/>
  <c r="F81" i="16"/>
  <c r="F107" i="16"/>
  <c r="F90" i="16"/>
  <c r="F89" i="16"/>
  <c r="F104" i="16"/>
  <c r="F74" i="16"/>
  <c r="F138" i="16"/>
  <c r="F71" i="16"/>
  <c r="F73" i="16"/>
  <c r="F137" i="16"/>
  <c r="F127" i="24"/>
  <c r="F122" i="16"/>
  <c r="F90" i="24"/>
  <c r="F136" i="16"/>
  <c r="F119" i="16"/>
  <c r="F135" i="16"/>
  <c r="F82" i="24"/>
  <c r="F130" i="16"/>
  <c r="F132" i="24"/>
  <c r="F105" i="16"/>
  <c r="F146" i="16"/>
  <c r="F120" i="16"/>
  <c r="F139" i="16"/>
  <c r="F124" i="16"/>
  <c r="F142" i="16"/>
  <c r="F77" i="16"/>
  <c r="F76" i="24"/>
  <c r="F79" i="16"/>
  <c r="F95" i="16"/>
  <c r="F111" i="16"/>
  <c r="F80" i="24"/>
  <c r="F118" i="24"/>
  <c r="F75" i="24"/>
  <c r="F94" i="16"/>
  <c r="F72" i="16"/>
  <c r="F83" i="16"/>
  <c r="F99" i="16"/>
  <c r="F136" i="24"/>
  <c r="F121" i="16"/>
  <c r="F141" i="16"/>
  <c r="F129" i="24"/>
  <c r="F134" i="16"/>
  <c r="F118" i="16"/>
  <c r="F109" i="16"/>
  <c r="F123" i="24"/>
  <c r="F126" i="16"/>
  <c r="F128" i="16"/>
  <c r="F78" i="16"/>
  <c r="F137" i="24"/>
  <c r="F86" i="24"/>
  <c r="F113" i="24"/>
  <c r="F115" i="16"/>
  <c r="F105" i="24"/>
  <c r="F96" i="16"/>
  <c r="F125" i="16"/>
  <c r="F144" i="16"/>
  <c r="F146" i="24"/>
  <c r="F150" i="24"/>
  <c r="F80" i="16"/>
  <c r="F81" i="24"/>
  <c r="F134" i="24"/>
  <c r="F124" i="24"/>
  <c r="F104" i="24"/>
  <c r="F148" i="24"/>
  <c r="F98" i="16"/>
  <c r="F114" i="16"/>
  <c r="F119" i="24"/>
  <c r="F88" i="24"/>
  <c r="F112" i="24"/>
  <c r="F120" i="24"/>
  <c r="F109" i="24"/>
  <c r="F94" i="24"/>
  <c r="F147" i="24"/>
  <c r="F116" i="24"/>
  <c r="F78" i="24"/>
  <c r="F74" i="24"/>
  <c r="F145" i="24"/>
  <c r="F89" i="24"/>
  <c r="F71" i="24"/>
  <c r="F99" i="24"/>
  <c r="F88" i="16"/>
  <c r="F85" i="24"/>
  <c r="F101" i="16"/>
  <c r="F117" i="16"/>
  <c r="F133" i="16"/>
  <c r="F108" i="24"/>
  <c r="F126" i="24"/>
  <c r="F128" i="24"/>
  <c r="F83" i="24"/>
  <c r="F112" i="16"/>
  <c r="F131" i="24"/>
  <c r="F117" i="24"/>
  <c r="F122" i="24"/>
  <c r="F77" i="24"/>
  <c r="F139" i="24"/>
  <c r="F116" i="16"/>
  <c r="F125" i="24"/>
  <c r="F84" i="24"/>
  <c r="F93" i="24"/>
  <c r="F111" i="24"/>
  <c r="F98" i="24"/>
  <c r="F72" i="24"/>
  <c r="F102" i="24"/>
  <c r="F135" i="24"/>
  <c r="A151" i="16"/>
  <c r="B150" i="16"/>
  <c r="A150" i="17" s="1"/>
  <c r="F148" i="16"/>
  <c r="C149" i="16"/>
  <c r="C149" i="17" s="1"/>
  <c r="B26" i="47" l="1"/>
  <c r="P26" i="42"/>
  <c r="Q26" i="42" s="1"/>
  <c r="O26" i="42" s="1"/>
  <c r="A160" i="8"/>
  <c r="A152" i="25"/>
  <c r="F152" i="24"/>
  <c r="C152" i="25"/>
  <c r="A154" i="24"/>
  <c r="I153" i="25"/>
  <c r="G153" i="25" s="1"/>
  <c r="B153" i="25"/>
  <c r="B153" i="24"/>
  <c r="C153" i="24" s="1"/>
  <c r="E153" i="24"/>
  <c r="D153" i="24" s="1"/>
  <c r="E153" i="25" s="1"/>
  <c r="I161" i="8"/>
  <c r="G161" i="8" s="1"/>
  <c r="B161" i="8"/>
  <c r="A162" i="2"/>
  <c r="B161" i="2"/>
  <c r="C161" i="2" s="1"/>
  <c r="C161" i="8" s="1"/>
  <c r="F161" i="2"/>
  <c r="E161" i="2"/>
  <c r="D161" i="2" s="1"/>
  <c r="E161" i="8" s="1"/>
  <c r="E151" i="16"/>
  <c r="D151" i="16" s="1"/>
  <c r="E151" i="17" s="1"/>
  <c r="I151" i="17"/>
  <c r="G151" i="17" s="1"/>
  <c r="B151" i="17"/>
  <c r="F149" i="16"/>
  <c r="C150" i="16"/>
  <c r="C150" i="17" s="1"/>
  <c r="A152" i="16"/>
  <c r="B151" i="16"/>
  <c r="C151" i="16" s="1"/>
  <c r="C151" i="17" s="1"/>
  <c r="F153" i="24" l="1"/>
  <c r="C153" i="25"/>
  <c r="A153" i="25"/>
  <c r="A151" i="17"/>
  <c r="A161" i="8"/>
  <c r="A155" i="24"/>
  <c r="B154" i="25"/>
  <c r="I154" i="25"/>
  <c r="G154" i="25" s="1"/>
  <c r="E154" i="24"/>
  <c r="B154" i="24"/>
  <c r="C154" i="24" s="1"/>
  <c r="C154" i="25" s="1"/>
  <c r="I162" i="8"/>
  <c r="G162" i="8" s="1"/>
  <c r="B162" i="8"/>
  <c r="A163" i="2"/>
  <c r="E162" i="2"/>
  <c r="D162" i="2" s="1"/>
  <c r="E162" i="8" s="1"/>
  <c r="F162" i="2"/>
  <c r="B162" i="2"/>
  <c r="C162" i="2" s="1"/>
  <c r="C162" i="8" s="1"/>
  <c r="F151" i="16"/>
  <c r="E152" i="16"/>
  <c r="D152" i="16" s="1"/>
  <c r="E152" i="17" s="1"/>
  <c r="I152" i="17"/>
  <c r="G152" i="17" s="1"/>
  <c r="B152" i="17"/>
  <c r="F150" i="16"/>
  <c r="A153" i="16"/>
  <c r="B152" i="16"/>
  <c r="C152" i="16" s="1"/>
  <c r="F152" i="16" l="1"/>
  <c r="A162" i="8"/>
  <c r="F154" i="24"/>
  <c r="A154" i="25"/>
  <c r="C152" i="17"/>
  <c r="A152" i="17"/>
  <c r="D154" i="24"/>
  <c r="E154" i="25" s="1"/>
  <c r="A156" i="24"/>
  <c r="I155" i="25"/>
  <c r="G155" i="25" s="1"/>
  <c r="B155" i="25"/>
  <c r="E155" i="24"/>
  <c r="D155" i="24" s="1"/>
  <c r="E155" i="25" s="1"/>
  <c r="B155" i="24"/>
  <c r="C155" i="24" s="1"/>
  <c r="I163" i="8"/>
  <c r="G163" i="8" s="1"/>
  <c r="B163" i="8"/>
  <c r="A164" i="2"/>
  <c r="E163" i="2"/>
  <c r="D163" i="2" s="1"/>
  <c r="E163" i="8" s="1"/>
  <c r="B163" i="2"/>
  <c r="C163" i="2" s="1"/>
  <c r="C163" i="8" s="1"/>
  <c r="F163" i="2"/>
  <c r="E153" i="16"/>
  <c r="D153" i="16" s="1"/>
  <c r="E153" i="17" s="1"/>
  <c r="I153" i="17"/>
  <c r="G153" i="17" s="1"/>
  <c r="B153" i="17"/>
  <c r="A154" i="16"/>
  <c r="B153" i="16"/>
  <c r="C153" i="16" s="1"/>
  <c r="C153" i="17" s="1"/>
  <c r="A163" i="8" l="1"/>
  <c r="F155" i="24"/>
  <c r="A155" i="25"/>
  <c r="A153" i="17"/>
  <c r="C155" i="25"/>
  <c r="A157" i="24"/>
  <c r="I156" i="25"/>
  <c r="G156" i="25" s="1"/>
  <c r="B156" i="25"/>
  <c r="B156" i="24"/>
  <c r="C156" i="24" s="1"/>
  <c r="E156" i="24"/>
  <c r="D156" i="24" s="1"/>
  <c r="E156" i="25" s="1"/>
  <c r="B164" i="8"/>
  <c r="I164" i="8"/>
  <c r="G164" i="8" s="1"/>
  <c r="B28" i="46" s="1"/>
  <c r="D28" i="46" s="1"/>
  <c r="A165" i="2"/>
  <c r="E164" i="2"/>
  <c r="D164" i="2" s="1"/>
  <c r="E164" i="8" s="1"/>
  <c r="F164" i="2"/>
  <c r="B164" i="2"/>
  <c r="C164" i="2" s="1"/>
  <c r="C164" i="8" s="1"/>
  <c r="E154" i="16"/>
  <c r="D154" i="16" s="1"/>
  <c r="E154" i="17" s="1"/>
  <c r="I154" i="17"/>
  <c r="G154" i="17" s="1"/>
  <c r="B154" i="17"/>
  <c r="F153" i="16"/>
  <c r="A155" i="16"/>
  <c r="B154" i="16"/>
  <c r="C154" i="16" s="1"/>
  <c r="C154" i="17" s="1"/>
  <c r="A28" i="46" l="1"/>
  <c r="B28" i="42"/>
  <c r="C28" i="42" s="1"/>
  <c r="A28" i="42" s="1"/>
  <c r="F156" i="24"/>
  <c r="C156" i="25"/>
  <c r="A156" i="25"/>
  <c r="A154" i="17"/>
  <c r="A164" i="8"/>
  <c r="A158" i="24"/>
  <c r="I157" i="25"/>
  <c r="G157" i="25" s="1"/>
  <c r="C27" i="48" s="1"/>
  <c r="D27" i="48" s="1"/>
  <c r="B157" i="25"/>
  <c r="B157" i="24"/>
  <c r="C157" i="24" s="1"/>
  <c r="E157" i="24"/>
  <c r="D157" i="24" s="1"/>
  <c r="E157" i="25" s="1"/>
  <c r="I165" i="8"/>
  <c r="G165" i="8" s="1"/>
  <c r="B165" i="8"/>
  <c r="A166" i="2"/>
  <c r="F165" i="2"/>
  <c r="E165" i="2"/>
  <c r="D165" i="2" s="1"/>
  <c r="E165" i="8" s="1"/>
  <c r="B165" i="2"/>
  <c r="C165" i="2" s="1"/>
  <c r="C165" i="8" s="1"/>
  <c r="E155" i="16"/>
  <c r="D155" i="16" s="1"/>
  <c r="E155" i="17" s="1"/>
  <c r="I155" i="17"/>
  <c r="G155" i="17" s="1"/>
  <c r="B155" i="17"/>
  <c r="F154" i="16"/>
  <c r="A156" i="16"/>
  <c r="B155" i="16"/>
  <c r="C155" i="16" s="1"/>
  <c r="C155" i="17" s="1"/>
  <c r="B27" i="48" l="1"/>
  <c r="AD27" i="42"/>
  <c r="AE27" i="42" s="1"/>
  <c r="AC27" i="42" s="1"/>
  <c r="F157" i="24"/>
  <c r="A157" i="25"/>
  <c r="A165" i="8"/>
  <c r="C157" i="25"/>
  <c r="A155" i="17"/>
  <c r="A159" i="24"/>
  <c r="I158" i="25"/>
  <c r="G158" i="25" s="1"/>
  <c r="B158" i="25"/>
  <c r="E158" i="24"/>
  <c r="D158" i="24" s="1"/>
  <c r="E158" i="25" s="1"/>
  <c r="B158" i="24"/>
  <c r="C158" i="24" s="1"/>
  <c r="I166" i="8"/>
  <c r="G166" i="8" s="1"/>
  <c r="B166" i="8"/>
  <c r="A167" i="2"/>
  <c r="F166" i="2"/>
  <c r="B166" i="2"/>
  <c r="C166" i="2" s="1"/>
  <c r="C166" i="8" s="1"/>
  <c r="E166" i="2"/>
  <c r="D166" i="2" s="1"/>
  <c r="E166" i="8" s="1"/>
  <c r="E156" i="16"/>
  <c r="D156" i="16" s="1"/>
  <c r="E156" i="17" s="1"/>
  <c r="B156" i="17"/>
  <c r="I156" i="17"/>
  <c r="G156" i="17" s="1"/>
  <c r="F155" i="16"/>
  <c r="A157" i="16"/>
  <c r="B156" i="16"/>
  <c r="C156" i="16" s="1"/>
  <c r="C156" i="17" s="1"/>
  <c r="F158" i="24" l="1"/>
  <c r="A156" i="17"/>
  <c r="C158" i="25"/>
  <c r="A166" i="8"/>
  <c r="A158" i="25"/>
  <c r="A160" i="24"/>
  <c r="I159" i="25"/>
  <c r="G159" i="25" s="1"/>
  <c r="B159" i="25"/>
  <c r="E159" i="24"/>
  <c r="D159" i="24" s="1"/>
  <c r="E159" i="25" s="1"/>
  <c r="B159" i="24"/>
  <c r="C159" i="24" s="1"/>
  <c r="C159" i="25" s="1"/>
  <c r="I167" i="8"/>
  <c r="G167" i="8" s="1"/>
  <c r="B167" i="8"/>
  <c r="A168" i="2"/>
  <c r="B167" i="2"/>
  <c r="C167" i="2" s="1"/>
  <c r="C167" i="8" s="1"/>
  <c r="E167" i="2"/>
  <c r="D167" i="2" s="1"/>
  <c r="E167" i="8" s="1"/>
  <c r="F167" i="2"/>
  <c r="E157" i="16"/>
  <c r="D157" i="16" s="1"/>
  <c r="E157" i="17" s="1"/>
  <c r="B157" i="17"/>
  <c r="I157" i="17"/>
  <c r="G157" i="17" s="1"/>
  <c r="C27" i="47" s="1"/>
  <c r="D27" i="47" s="1"/>
  <c r="F156" i="16"/>
  <c r="A158" i="16"/>
  <c r="B157" i="16"/>
  <c r="C157" i="16" s="1"/>
  <c r="C157" i="17" s="1"/>
  <c r="B27" i="47" l="1"/>
  <c r="P27" i="42"/>
  <c r="Q27" i="42" s="1"/>
  <c r="O27" i="42" s="1"/>
  <c r="A167" i="8"/>
  <c r="A157" i="17"/>
  <c r="A159" i="25"/>
  <c r="F159" i="24"/>
  <c r="A161" i="24"/>
  <c r="I160" i="25"/>
  <c r="G160" i="25" s="1"/>
  <c r="B160" i="25"/>
  <c r="B160" i="24"/>
  <c r="C160" i="24" s="1"/>
  <c r="C160" i="25" s="1"/>
  <c r="E160" i="24"/>
  <c r="D160" i="24" s="1"/>
  <c r="E160" i="25" s="1"/>
  <c r="I168" i="8"/>
  <c r="G168" i="8" s="1"/>
  <c r="B168" i="8"/>
  <c r="A169" i="2"/>
  <c r="E168" i="2"/>
  <c r="D168" i="2" s="1"/>
  <c r="E168" i="8" s="1"/>
  <c r="F168" i="2"/>
  <c r="B168" i="2"/>
  <c r="C168" i="2" s="1"/>
  <c r="C168" i="8" s="1"/>
  <c r="E158" i="16"/>
  <c r="D158" i="16" s="1"/>
  <c r="E158" i="17" s="1"/>
  <c r="I158" i="17"/>
  <c r="G158" i="17" s="1"/>
  <c r="B158" i="17"/>
  <c r="F157" i="16"/>
  <c r="A159" i="16"/>
  <c r="B158" i="16"/>
  <c r="C158" i="16" s="1"/>
  <c r="C158" i="17" s="1"/>
  <c r="F160" i="24" l="1"/>
  <c r="A168" i="8"/>
  <c r="A158" i="17"/>
  <c r="A160" i="25"/>
  <c r="A162" i="24"/>
  <c r="I161" i="25"/>
  <c r="G161" i="25" s="1"/>
  <c r="B161" i="25"/>
  <c r="E161" i="24"/>
  <c r="D161" i="24" s="1"/>
  <c r="E161" i="25" s="1"/>
  <c r="B161" i="24"/>
  <c r="A161" i="25" s="1"/>
  <c r="I169" i="8"/>
  <c r="G169" i="8" s="1"/>
  <c r="B169" i="8"/>
  <c r="A170" i="2"/>
  <c r="B169" i="2"/>
  <c r="C169" i="2" s="1"/>
  <c r="C169" i="8" s="1"/>
  <c r="E169" i="2"/>
  <c r="D169" i="2" s="1"/>
  <c r="E169" i="8" s="1"/>
  <c r="F169" i="2"/>
  <c r="E159" i="16"/>
  <c r="D159" i="16" s="1"/>
  <c r="E159" i="17" s="1"/>
  <c r="B159" i="17"/>
  <c r="I159" i="17"/>
  <c r="G159" i="17" s="1"/>
  <c r="F158" i="16"/>
  <c r="A160" i="16"/>
  <c r="B159" i="16"/>
  <c r="C159" i="16" s="1"/>
  <c r="C159" i="17" s="1"/>
  <c r="A169" i="8" l="1"/>
  <c r="C161" i="24"/>
  <c r="A159" i="17"/>
  <c r="A163" i="24"/>
  <c r="B162" i="25"/>
  <c r="I162" i="25"/>
  <c r="G162" i="25" s="1"/>
  <c r="E162" i="24"/>
  <c r="D162" i="24" s="1"/>
  <c r="E162" i="25" s="1"/>
  <c r="B162" i="24"/>
  <c r="C162" i="24" s="1"/>
  <c r="C162" i="25" s="1"/>
  <c r="I170" i="8"/>
  <c r="G170" i="8" s="1"/>
  <c r="B170" i="8"/>
  <c r="A171" i="2"/>
  <c r="F170" i="2"/>
  <c r="E170" i="2"/>
  <c r="D170" i="2" s="1"/>
  <c r="E170" i="8" s="1"/>
  <c r="B170" i="2"/>
  <c r="C170" i="2" s="1"/>
  <c r="C170" i="8" s="1"/>
  <c r="E160" i="16"/>
  <c r="D160" i="16" s="1"/>
  <c r="E160" i="17" s="1"/>
  <c r="I160" i="17"/>
  <c r="G160" i="17" s="1"/>
  <c r="B160" i="17"/>
  <c r="F159" i="16"/>
  <c r="A161" i="16"/>
  <c r="B160" i="16"/>
  <c r="C160" i="16" s="1"/>
  <c r="C160" i="17" s="1"/>
  <c r="A170" i="8" l="1"/>
  <c r="A162" i="25"/>
  <c r="A160" i="17"/>
  <c r="F162" i="24"/>
  <c r="F161" i="24"/>
  <c r="C161" i="25"/>
  <c r="A164" i="24"/>
  <c r="B163" i="25"/>
  <c r="I163" i="25"/>
  <c r="G163" i="25" s="1"/>
  <c r="B163" i="24"/>
  <c r="C163" i="24" s="1"/>
  <c r="E163" i="24"/>
  <c r="D163" i="24" s="1"/>
  <c r="E163" i="25" s="1"/>
  <c r="I171" i="8"/>
  <c r="G171" i="8" s="1"/>
  <c r="B29" i="46" s="1"/>
  <c r="D29" i="46" s="1"/>
  <c r="B171" i="8"/>
  <c r="A172" i="2"/>
  <c r="E171" i="2"/>
  <c r="D171" i="2" s="1"/>
  <c r="E171" i="8" s="1"/>
  <c r="F171" i="2"/>
  <c r="B171" i="2"/>
  <c r="C171" i="2" s="1"/>
  <c r="C171" i="8" s="1"/>
  <c r="E161" i="16"/>
  <c r="D161" i="16" s="1"/>
  <c r="E161" i="17" s="1"/>
  <c r="I161" i="17"/>
  <c r="G161" i="17" s="1"/>
  <c r="B161" i="17"/>
  <c r="F160" i="16"/>
  <c r="A162" i="16"/>
  <c r="B161" i="16"/>
  <c r="C161" i="16" s="1"/>
  <c r="C161" i="17" s="1"/>
  <c r="A29" i="46" l="1"/>
  <c r="B29" i="42"/>
  <c r="C29" i="42" s="1"/>
  <c r="A29" i="42" s="1"/>
  <c r="A171" i="8"/>
  <c r="A163" i="25"/>
  <c r="F163" i="24"/>
  <c r="A161" i="17"/>
  <c r="C163" i="25"/>
  <c r="A165" i="24"/>
  <c r="I164" i="25"/>
  <c r="G164" i="25" s="1"/>
  <c r="C28" i="48" s="1"/>
  <c r="D28" i="48" s="1"/>
  <c r="B164" i="25"/>
  <c r="E164" i="24"/>
  <c r="D164" i="24" s="1"/>
  <c r="E164" i="25" s="1"/>
  <c r="B164" i="24"/>
  <c r="C164" i="24" s="1"/>
  <c r="B172" i="8"/>
  <c r="I172" i="8"/>
  <c r="G172" i="8" s="1"/>
  <c r="A173" i="2"/>
  <c r="E172" i="2"/>
  <c r="D172" i="2" s="1"/>
  <c r="E172" i="8" s="1"/>
  <c r="F172" i="2"/>
  <c r="B172" i="2"/>
  <c r="C172" i="2" s="1"/>
  <c r="C172" i="8" s="1"/>
  <c r="E162" i="16"/>
  <c r="D162" i="16" s="1"/>
  <c r="E162" i="17" s="1"/>
  <c r="I162" i="17"/>
  <c r="G162" i="17" s="1"/>
  <c r="B162" i="17"/>
  <c r="F161" i="16"/>
  <c r="A163" i="16"/>
  <c r="B162" i="16"/>
  <c r="C162" i="16" s="1"/>
  <c r="C162" i="17" s="1"/>
  <c r="B28" i="48" l="1"/>
  <c r="AD28" i="42"/>
  <c r="AE28" i="42" s="1"/>
  <c r="AC28" i="42" s="1"/>
  <c r="A172" i="8"/>
  <c r="F164" i="24"/>
  <c r="A162" i="17"/>
  <c r="A164" i="25"/>
  <c r="C164" i="25"/>
  <c r="A166" i="24"/>
  <c r="I165" i="25"/>
  <c r="G165" i="25" s="1"/>
  <c r="B165" i="25"/>
  <c r="E165" i="24"/>
  <c r="D165" i="24" s="1"/>
  <c r="E165" i="25" s="1"/>
  <c r="B165" i="24"/>
  <c r="C165" i="24" s="1"/>
  <c r="C165" i="25" s="1"/>
  <c r="I173" i="8"/>
  <c r="G173" i="8" s="1"/>
  <c r="B173" i="8"/>
  <c r="A174" i="2"/>
  <c r="F173" i="2"/>
  <c r="B173" i="2"/>
  <c r="C173" i="2" s="1"/>
  <c r="C173" i="8" s="1"/>
  <c r="E173" i="2"/>
  <c r="D173" i="2" s="1"/>
  <c r="E173" i="8" s="1"/>
  <c r="E163" i="16"/>
  <c r="D163" i="16" s="1"/>
  <c r="E163" i="17" s="1"/>
  <c r="I163" i="17"/>
  <c r="G163" i="17" s="1"/>
  <c r="B163" i="17"/>
  <c r="F162" i="16"/>
  <c r="A164" i="16"/>
  <c r="B163" i="16"/>
  <c r="C163" i="16" s="1"/>
  <c r="C163" i="17" s="1"/>
  <c r="A173" i="8" l="1"/>
  <c r="A165" i="25"/>
  <c r="A163" i="17"/>
  <c r="F165" i="24"/>
  <c r="A167" i="24"/>
  <c r="B166" i="25"/>
  <c r="I166" i="25"/>
  <c r="G166" i="25" s="1"/>
  <c r="B166" i="24"/>
  <c r="C166" i="24" s="1"/>
  <c r="E166" i="24"/>
  <c r="D166" i="24" s="1"/>
  <c r="E166" i="25" s="1"/>
  <c r="I174" i="8"/>
  <c r="G174" i="8" s="1"/>
  <c r="B174" i="8"/>
  <c r="A175" i="2"/>
  <c r="F174" i="2"/>
  <c r="B174" i="2"/>
  <c r="C174" i="2" s="1"/>
  <c r="C174" i="8" s="1"/>
  <c r="E174" i="2"/>
  <c r="D174" i="2" s="1"/>
  <c r="E174" i="8" s="1"/>
  <c r="E164" i="16"/>
  <c r="D164" i="16" s="1"/>
  <c r="E164" i="17" s="1"/>
  <c r="I164" i="17"/>
  <c r="G164" i="17" s="1"/>
  <c r="C28" i="47" s="1"/>
  <c r="D28" i="47" s="1"/>
  <c r="B164" i="17"/>
  <c r="F163" i="16"/>
  <c r="A165" i="16"/>
  <c r="B164" i="16"/>
  <c r="C164" i="16" s="1"/>
  <c r="C164" i="17" s="1"/>
  <c r="B28" i="47" l="1"/>
  <c r="P28" i="42"/>
  <c r="Q28" i="42" s="1"/>
  <c r="O28" i="42" s="1"/>
  <c r="A174" i="8"/>
  <c r="F166" i="24"/>
  <c r="A166" i="25"/>
  <c r="C166" i="25"/>
  <c r="A164" i="17"/>
  <c r="A168" i="24"/>
  <c r="B167" i="25"/>
  <c r="I167" i="25"/>
  <c r="G167" i="25" s="1"/>
  <c r="E167" i="24"/>
  <c r="D167" i="24" s="1"/>
  <c r="E167" i="25" s="1"/>
  <c r="B167" i="24"/>
  <c r="C167" i="24" s="1"/>
  <c r="C167" i="25" s="1"/>
  <c r="I175" i="8"/>
  <c r="G175" i="8" s="1"/>
  <c r="B175" i="8"/>
  <c r="A176" i="2"/>
  <c r="B175" i="2"/>
  <c r="C175" i="2" s="1"/>
  <c r="C175" i="8" s="1"/>
  <c r="E175" i="2"/>
  <c r="D175" i="2" s="1"/>
  <c r="E175" i="8" s="1"/>
  <c r="F175" i="2"/>
  <c r="E165" i="16"/>
  <c r="D165" i="16" s="1"/>
  <c r="E165" i="17" s="1"/>
  <c r="I165" i="17"/>
  <c r="G165" i="17" s="1"/>
  <c r="B165" i="17"/>
  <c r="F164" i="16"/>
  <c r="A166" i="16"/>
  <c r="B165" i="16"/>
  <c r="C165" i="16" s="1"/>
  <c r="C165" i="17" s="1"/>
  <c r="A175" i="8" l="1"/>
  <c r="A167" i="25"/>
  <c r="A165" i="17"/>
  <c r="F167" i="24"/>
  <c r="A169" i="24"/>
  <c r="I168" i="25"/>
  <c r="G168" i="25" s="1"/>
  <c r="B168" i="25"/>
  <c r="B168" i="24"/>
  <c r="C168" i="24" s="1"/>
  <c r="E168" i="24"/>
  <c r="D168" i="24" s="1"/>
  <c r="E168" i="25" s="1"/>
  <c r="I176" i="8"/>
  <c r="G176" i="8" s="1"/>
  <c r="B176" i="8"/>
  <c r="A177" i="2"/>
  <c r="I177" i="8" s="1"/>
  <c r="F176" i="2"/>
  <c r="B176" i="2"/>
  <c r="C176" i="2" s="1"/>
  <c r="C176" i="8" s="1"/>
  <c r="E176" i="2"/>
  <c r="D176" i="2" s="1"/>
  <c r="E176" i="8" s="1"/>
  <c r="E166" i="16"/>
  <c r="D166" i="16" s="1"/>
  <c r="E166" i="17" s="1"/>
  <c r="I166" i="17"/>
  <c r="G166" i="17" s="1"/>
  <c r="B166" i="17"/>
  <c r="F165" i="16"/>
  <c r="A167" i="16"/>
  <c r="B166" i="16"/>
  <c r="C166" i="16" s="1"/>
  <c r="C166" i="17" s="1"/>
  <c r="A176" i="8" l="1"/>
  <c r="A166" i="17"/>
  <c r="A168" i="25"/>
  <c r="F168" i="24"/>
  <c r="C168" i="25"/>
  <c r="A170" i="24"/>
  <c r="I169" i="25"/>
  <c r="G169" i="25" s="1"/>
  <c r="B169" i="25"/>
  <c r="E169" i="24"/>
  <c r="D169" i="24" s="1"/>
  <c r="E169" i="25" s="1"/>
  <c r="B169" i="24"/>
  <c r="C169" i="24" s="1"/>
  <c r="C169" i="25" s="1"/>
  <c r="G177" i="8"/>
  <c r="B177" i="8"/>
  <c r="A178" i="2"/>
  <c r="B177" i="2"/>
  <c r="C177" i="2" s="1"/>
  <c r="C177" i="8" s="1"/>
  <c r="F177" i="2"/>
  <c r="E177" i="2"/>
  <c r="D177" i="2" s="1"/>
  <c r="E177" i="8" s="1"/>
  <c r="E167" i="16"/>
  <c r="D167" i="16" s="1"/>
  <c r="E167" i="17" s="1"/>
  <c r="B167" i="17"/>
  <c r="I167" i="17"/>
  <c r="G167" i="17" s="1"/>
  <c r="F166" i="16"/>
  <c r="A168" i="16"/>
  <c r="B167" i="16"/>
  <c r="C167" i="16" s="1"/>
  <c r="C167" i="17" s="1"/>
  <c r="A177" i="8" l="1"/>
  <c r="A169" i="25"/>
  <c r="F169" i="24"/>
  <c r="A167" i="17"/>
  <c r="A171" i="24"/>
  <c r="I170" i="25"/>
  <c r="G170" i="25" s="1"/>
  <c r="B170" i="25"/>
  <c r="B170" i="24"/>
  <c r="C170" i="24" s="1"/>
  <c r="C170" i="25" s="1"/>
  <c r="E170" i="24"/>
  <c r="D170" i="24" s="1"/>
  <c r="E170" i="25" s="1"/>
  <c r="I178" i="8"/>
  <c r="G178" i="8" s="1"/>
  <c r="B30" i="46" s="1"/>
  <c r="D30" i="46" s="1"/>
  <c r="B178" i="8"/>
  <c r="A179" i="2"/>
  <c r="E178" i="2"/>
  <c r="D178" i="2" s="1"/>
  <c r="E178" i="8" s="1"/>
  <c r="B178" i="2"/>
  <c r="C178" i="2" s="1"/>
  <c r="C178" i="8" s="1"/>
  <c r="F178" i="2"/>
  <c r="E168" i="16"/>
  <c r="D168" i="16" s="1"/>
  <c r="E168" i="17" s="1"/>
  <c r="I168" i="17"/>
  <c r="G168" i="17" s="1"/>
  <c r="B168" i="17"/>
  <c r="F167" i="16"/>
  <c r="A169" i="16"/>
  <c r="B168" i="16"/>
  <c r="C168" i="16" s="1"/>
  <c r="C168" i="17" s="1"/>
  <c r="A30" i="46" l="1"/>
  <c r="B30" i="42"/>
  <c r="C30" i="42" s="1"/>
  <c r="A30" i="42" s="1"/>
  <c r="A178" i="8"/>
  <c r="A170" i="25"/>
  <c r="F170" i="24"/>
  <c r="A168" i="17"/>
  <c r="A172" i="24"/>
  <c r="B171" i="25"/>
  <c r="I171" i="25"/>
  <c r="G171" i="25" s="1"/>
  <c r="C29" i="48" s="1"/>
  <c r="D29" i="48" s="1"/>
  <c r="B171" i="24"/>
  <c r="C171" i="24" s="1"/>
  <c r="C171" i="25" s="1"/>
  <c r="E171" i="24"/>
  <c r="D171" i="24" s="1"/>
  <c r="E171" i="25" s="1"/>
  <c r="I179" i="8"/>
  <c r="G179" i="8" s="1"/>
  <c r="B179" i="8"/>
  <c r="A180" i="2"/>
  <c r="E179" i="2"/>
  <c r="D179" i="2" s="1"/>
  <c r="E179" i="8" s="1"/>
  <c r="F179" i="2"/>
  <c r="B179" i="2"/>
  <c r="C179" i="2" s="1"/>
  <c r="C179" i="8" s="1"/>
  <c r="E169" i="16"/>
  <c r="D169" i="16" s="1"/>
  <c r="E169" i="17" s="1"/>
  <c r="I169" i="17"/>
  <c r="G169" i="17" s="1"/>
  <c r="B169" i="17"/>
  <c r="F168" i="16"/>
  <c r="A170" i="16"/>
  <c r="B169" i="16"/>
  <c r="C169" i="16" s="1"/>
  <c r="C169" i="17" s="1"/>
  <c r="B29" i="48" l="1"/>
  <c r="AD29" i="42"/>
  <c r="AE29" i="42" s="1"/>
  <c r="AC29" i="42" s="1"/>
  <c r="A169" i="17"/>
  <c r="A179" i="8"/>
  <c r="A171" i="25"/>
  <c r="F171" i="24"/>
  <c r="A173" i="24"/>
  <c r="B172" i="25"/>
  <c r="I172" i="25"/>
  <c r="G172" i="25" s="1"/>
  <c r="B172" i="24"/>
  <c r="C172" i="24" s="1"/>
  <c r="C172" i="25" s="1"/>
  <c r="E172" i="24"/>
  <c r="D172" i="24" s="1"/>
  <c r="E172" i="25" s="1"/>
  <c r="B180" i="8"/>
  <c r="I180" i="8"/>
  <c r="G180" i="8" s="1"/>
  <c r="A181" i="2"/>
  <c r="B180" i="2"/>
  <c r="A180" i="8" s="1"/>
  <c r="F180" i="2"/>
  <c r="E180" i="2"/>
  <c r="D180" i="2" s="1"/>
  <c r="E180" i="8" s="1"/>
  <c r="E170" i="16"/>
  <c r="D170" i="16" s="1"/>
  <c r="E170" i="17" s="1"/>
  <c r="I170" i="17"/>
  <c r="G170" i="17" s="1"/>
  <c r="B170" i="17"/>
  <c r="F169" i="16"/>
  <c r="A171" i="16"/>
  <c r="B170" i="16"/>
  <c r="C170" i="16" s="1"/>
  <c r="C170" i="17" s="1"/>
  <c r="A172" i="25" l="1"/>
  <c r="A170" i="17"/>
  <c r="F172" i="24"/>
  <c r="A174" i="24"/>
  <c r="I173" i="25"/>
  <c r="G173" i="25" s="1"/>
  <c r="B173" i="25"/>
  <c r="E173" i="24"/>
  <c r="D173" i="24" s="1"/>
  <c r="E173" i="25" s="1"/>
  <c r="B173" i="24"/>
  <c r="C173" i="24" s="1"/>
  <c r="C173" i="25" s="1"/>
  <c r="C180" i="2"/>
  <c r="C180" i="8" s="1"/>
  <c r="I181" i="8"/>
  <c r="G181" i="8" s="1"/>
  <c r="B181" i="8"/>
  <c r="B181" i="2"/>
  <c r="C181" i="2" s="1"/>
  <c r="C181" i="8" s="1"/>
  <c r="A182" i="2"/>
  <c r="F181" i="2"/>
  <c r="E181" i="2"/>
  <c r="D181" i="2" s="1"/>
  <c r="E181" i="8" s="1"/>
  <c r="E171" i="16"/>
  <c r="D171" i="16" s="1"/>
  <c r="E171" i="17" s="1"/>
  <c r="I171" i="17"/>
  <c r="G171" i="17" s="1"/>
  <c r="C29" i="47" s="1"/>
  <c r="D29" i="47" s="1"/>
  <c r="B171" i="17"/>
  <c r="F170" i="16"/>
  <c r="A172" i="16"/>
  <c r="B171" i="16"/>
  <c r="C171" i="16" s="1"/>
  <c r="C171" i="17" s="1"/>
  <c r="B29" i="47" l="1"/>
  <c r="P29" i="42"/>
  <c r="Q29" i="42" s="1"/>
  <c r="O29" i="42" s="1"/>
  <c r="A181" i="8"/>
  <c r="A173" i="25"/>
  <c r="A171" i="17"/>
  <c r="F173" i="24"/>
  <c r="A175" i="24"/>
  <c r="B174" i="25"/>
  <c r="I174" i="25"/>
  <c r="G174" i="25" s="1"/>
  <c r="E174" i="24"/>
  <c r="D174" i="24" s="1"/>
  <c r="E174" i="25" s="1"/>
  <c r="B174" i="24"/>
  <c r="C174" i="24" s="1"/>
  <c r="C174" i="25" s="1"/>
  <c r="I182" i="8"/>
  <c r="G182" i="8" s="1"/>
  <c r="B182" i="8"/>
  <c r="A183" i="2"/>
  <c r="B182" i="2"/>
  <c r="C182" i="2" s="1"/>
  <c r="C182" i="8" s="1"/>
  <c r="F182" i="2"/>
  <c r="E182" i="2"/>
  <c r="D182" i="2" s="1"/>
  <c r="E182" i="8" s="1"/>
  <c r="E172" i="16"/>
  <c r="D172" i="16" s="1"/>
  <c r="E172" i="17" s="1"/>
  <c r="B172" i="17"/>
  <c r="I172" i="17"/>
  <c r="G172" i="17" s="1"/>
  <c r="F171" i="16"/>
  <c r="A173" i="16"/>
  <c r="B172" i="16"/>
  <c r="C172" i="16" s="1"/>
  <c r="C172" i="17" s="1"/>
  <c r="A182" i="8" l="1"/>
  <c r="A172" i="17"/>
  <c r="A174" i="25"/>
  <c r="F174" i="24"/>
  <c r="A176" i="24"/>
  <c r="I175" i="25"/>
  <c r="G175" i="25" s="1"/>
  <c r="B175" i="25"/>
  <c r="E175" i="24"/>
  <c r="D175" i="24" s="1"/>
  <c r="E175" i="25" s="1"/>
  <c r="B175" i="24"/>
  <c r="C175" i="24" s="1"/>
  <c r="C175" i="25" s="1"/>
  <c r="I183" i="8"/>
  <c r="G183" i="8" s="1"/>
  <c r="B183" i="8"/>
  <c r="B183" i="2"/>
  <c r="C183" i="2" s="1"/>
  <c r="C183" i="8" s="1"/>
  <c r="A184" i="2"/>
  <c r="F183" i="2"/>
  <c r="E183" i="2"/>
  <c r="D183" i="2" s="1"/>
  <c r="E183" i="8" s="1"/>
  <c r="E173" i="16"/>
  <c r="D173" i="16" s="1"/>
  <c r="E173" i="17" s="1"/>
  <c r="I173" i="17"/>
  <c r="G173" i="17" s="1"/>
  <c r="B173" i="17"/>
  <c r="F172" i="16"/>
  <c r="A174" i="16"/>
  <c r="B173" i="16"/>
  <c r="C173" i="16" s="1"/>
  <c r="C173" i="17" s="1"/>
  <c r="A175" i="25" l="1"/>
  <c r="A183" i="8"/>
  <c r="A173" i="17"/>
  <c r="F175" i="24"/>
  <c r="A177" i="24"/>
  <c r="B176" i="25"/>
  <c r="I176" i="25"/>
  <c r="G176" i="25" s="1"/>
  <c r="E176" i="24"/>
  <c r="D176" i="24" s="1"/>
  <c r="E176" i="25" s="1"/>
  <c r="B176" i="24"/>
  <c r="C176" i="24" s="1"/>
  <c r="C176" i="25" s="1"/>
  <c r="I184" i="8"/>
  <c r="G184" i="8" s="1"/>
  <c r="B184" i="8"/>
  <c r="B184" i="2"/>
  <c r="C184" i="2" s="1"/>
  <c r="C184" i="8" s="1"/>
  <c r="A185" i="2"/>
  <c r="F184" i="2"/>
  <c r="E184" i="2"/>
  <c r="D184" i="2" s="1"/>
  <c r="E184" i="8" s="1"/>
  <c r="E174" i="16"/>
  <c r="D174" i="16" s="1"/>
  <c r="E174" i="17" s="1"/>
  <c r="I174" i="17"/>
  <c r="G174" i="17" s="1"/>
  <c r="B174" i="17"/>
  <c r="F173" i="16"/>
  <c r="A175" i="16"/>
  <c r="B174" i="16"/>
  <c r="C174" i="16" s="1"/>
  <c r="C174" i="17" s="1"/>
  <c r="A174" i="17" l="1"/>
  <c r="A184" i="8"/>
  <c r="A176" i="25"/>
  <c r="F176" i="24"/>
  <c r="A178" i="24"/>
  <c r="I177" i="25"/>
  <c r="G177" i="25" s="1"/>
  <c r="B177" i="25"/>
  <c r="E177" i="24"/>
  <c r="D177" i="24" s="1"/>
  <c r="E177" i="25" s="1"/>
  <c r="B177" i="24"/>
  <c r="C177" i="24" s="1"/>
  <c r="C177" i="25" s="1"/>
  <c r="I185" i="8"/>
  <c r="G185" i="8" s="1"/>
  <c r="B31" i="46" s="1"/>
  <c r="D31" i="46" s="1"/>
  <c r="B185" i="8"/>
  <c r="E10" i="7" s="1"/>
  <c r="B185" i="2"/>
  <c r="C185" i="2" s="1"/>
  <c r="C185" i="8" s="1"/>
  <c r="F185" i="2"/>
  <c r="E185" i="2"/>
  <c r="D185" i="2" s="1"/>
  <c r="E185" i="8" s="1"/>
  <c r="E175" i="16"/>
  <c r="D175" i="16" s="1"/>
  <c r="E175" i="17" s="1"/>
  <c r="B175" i="17"/>
  <c r="I175" i="17"/>
  <c r="G175" i="17" s="1"/>
  <c r="F174" i="16"/>
  <c r="A176" i="16"/>
  <c r="B175" i="16"/>
  <c r="C175" i="16" s="1"/>
  <c r="C175" i="17" s="1"/>
  <c r="A31" i="46" l="1"/>
  <c r="B31" i="42"/>
  <c r="C31" i="42" s="1"/>
  <c r="A177" i="25"/>
  <c r="A185" i="8"/>
  <c r="A175" i="17"/>
  <c r="F177" i="24"/>
  <c r="A179" i="24"/>
  <c r="I178" i="25"/>
  <c r="G178" i="25" s="1"/>
  <c r="C30" i="48" s="1"/>
  <c r="D30" i="48" s="1"/>
  <c r="B178" i="25"/>
  <c r="E178" i="24"/>
  <c r="D178" i="24" s="1"/>
  <c r="E178" i="25" s="1"/>
  <c r="B178" i="24"/>
  <c r="C178" i="24" s="1"/>
  <c r="C178" i="25" s="1"/>
  <c r="E176" i="16"/>
  <c r="D176" i="16" s="1"/>
  <c r="E176" i="17" s="1"/>
  <c r="I176" i="17"/>
  <c r="G176" i="17" s="1"/>
  <c r="B176" i="17"/>
  <c r="F175" i="16"/>
  <c r="A177" i="16"/>
  <c r="B176" i="16"/>
  <c r="C176" i="16" s="1"/>
  <c r="C176" i="17" s="1"/>
  <c r="B30" i="48" l="1"/>
  <c r="AD30" i="42"/>
  <c r="AE30" i="42" s="1"/>
  <c r="AC30" i="42" s="1"/>
  <c r="A31" i="42"/>
  <c r="A176" i="17"/>
  <c r="A178" i="25"/>
  <c r="F178" i="24"/>
  <c r="A180" i="24"/>
  <c r="I179" i="25"/>
  <c r="G179" i="25" s="1"/>
  <c r="B179" i="25"/>
  <c r="E179" i="24"/>
  <c r="D179" i="24" s="1"/>
  <c r="E179" i="25" s="1"/>
  <c r="B179" i="24"/>
  <c r="C179" i="24" s="1"/>
  <c r="C179" i="25" s="1"/>
  <c r="E177" i="16"/>
  <c r="D177" i="16" s="1"/>
  <c r="E177" i="17" s="1"/>
  <c r="B177" i="17"/>
  <c r="I177" i="17"/>
  <c r="G177" i="17" s="1"/>
  <c r="F176" i="16"/>
  <c r="A178" i="16"/>
  <c r="B177" i="16"/>
  <c r="C177" i="16" s="1"/>
  <c r="C177" i="17" s="1"/>
  <c r="A177" i="17" l="1"/>
  <c r="A179" i="25"/>
  <c r="F179" i="24"/>
  <c r="A181" i="24"/>
  <c r="I180" i="25"/>
  <c r="G180" i="25" s="1"/>
  <c r="B180" i="25"/>
  <c r="E180" i="24"/>
  <c r="D180" i="24" s="1"/>
  <c r="E180" i="25" s="1"/>
  <c r="B180" i="24"/>
  <c r="C180" i="24" s="1"/>
  <c r="C180" i="25" s="1"/>
  <c r="E178" i="16"/>
  <c r="D178" i="16" s="1"/>
  <c r="E178" i="17" s="1"/>
  <c r="B178" i="17"/>
  <c r="I178" i="17"/>
  <c r="G178" i="17" s="1"/>
  <c r="C30" i="47" s="1"/>
  <c r="D30" i="47" s="1"/>
  <c r="F177" i="16"/>
  <c r="A179" i="16"/>
  <c r="B178" i="16"/>
  <c r="C178" i="16" s="1"/>
  <c r="C178" i="17" s="1"/>
  <c r="B30" i="47" l="1"/>
  <c r="P30" i="42"/>
  <c r="Q30" i="42" s="1"/>
  <c r="O30" i="42" s="1"/>
  <c r="A180" i="25"/>
  <c r="A178" i="17"/>
  <c r="F180" i="24"/>
  <c r="A182" i="24"/>
  <c r="B181" i="25"/>
  <c r="I181" i="25"/>
  <c r="G181" i="25" s="1"/>
  <c r="B181" i="24"/>
  <c r="C181" i="24" s="1"/>
  <c r="C181" i="25" s="1"/>
  <c r="E181" i="24"/>
  <c r="D181" i="24" s="1"/>
  <c r="E181" i="25" s="1"/>
  <c r="E179" i="16"/>
  <c r="D179" i="16" s="1"/>
  <c r="E179" i="17" s="1"/>
  <c r="B179" i="17"/>
  <c r="I179" i="17"/>
  <c r="G179" i="17" s="1"/>
  <c r="F178" i="16"/>
  <c r="A180" i="16"/>
  <c r="B179" i="16"/>
  <c r="C179" i="16" s="1"/>
  <c r="C179" i="17" s="1"/>
  <c r="A179" i="17" l="1"/>
  <c r="A181" i="25"/>
  <c r="F181" i="24"/>
  <c r="A183" i="24"/>
  <c r="I182" i="25"/>
  <c r="G182" i="25" s="1"/>
  <c r="B182" i="25"/>
  <c r="E182" i="24"/>
  <c r="D182" i="24" s="1"/>
  <c r="E182" i="25" s="1"/>
  <c r="B182" i="24"/>
  <c r="C182" i="24" s="1"/>
  <c r="C182" i="25" s="1"/>
  <c r="E180" i="16"/>
  <c r="D180" i="16" s="1"/>
  <c r="E180" i="17" s="1"/>
  <c r="I180" i="17"/>
  <c r="G180" i="17" s="1"/>
  <c r="B180" i="17"/>
  <c r="F179" i="16"/>
  <c r="A181" i="16"/>
  <c r="B180" i="16"/>
  <c r="C180" i="16" s="1"/>
  <c r="C180" i="17" s="1"/>
  <c r="A182" i="25" l="1"/>
  <c r="A180" i="17"/>
  <c r="F182" i="24"/>
  <c r="A184" i="24"/>
  <c r="B183" i="24"/>
  <c r="A183" i="25" s="1"/>
  <c r="E183" i="24"/>
  <c r="B183" i="25"/>
  <c r="I183" i="25"/>
  <c r="G183" i="25" s="1"/>
  <c r="E181" i="16"/>
  <c r="D181" i="16" s="1"/>
  <c r="E181" i="17" s="1"/>
  <c r="B181" i="17"/>
  <c r="I181" i="17"/>
  <c r="G181" i="17" s="1"/>
  <c r="F180" i="16"/>
  <c r="A182" i="16"/>
  <c r="B181" i="16"/>
  <c r="C181" i="16" s="1"/>
  <c r="C181" i="17" s="1"/>
  <c r="C183" i="24" l="1"/>
  <c r="C183" i="25" s="1"/>
  <c r="D183" i="24"/>
  <c r="A181" i="17"/>
  <c r="E184" i="24"/>
  <c r="B184" i="24"/>
  <c r="A184" i="25" s="1"/>
  <c r="A185" i="24"/>
  <c r="I184" i="25"/>
  <c r="G184" i="25" s="1"/>
  <c r="B184" i="25"/>
  <c r="F181" i="16"/>
  <c r="E182" i="16"/>
  <c r="D182" i="16" s="1"/>
  <c r="E182" i="17" s="1"/>
  <c r="I182" i="17"/>
  <c r="G182" i="17" s="1"/>
  <c r="B182" i="17"/>
  <c r="A183" i="16"/>
  <c r="B182" i="16"/>
  <c r="C182" i="16" s="1"/>
  <c r="C182" i="17" s="1"/>
  <c r="C184" i="24" l="1"/>
  <c r="C184" i="25" s="1"/>
  <c r="F183" i="24"/>
  <c r="B183" i="17"/>
  <c r="D184" i="24"/>
  <c r="E183" i="25"/>
  <c r="A182" i="17"/>
  <c r="E185" i="24"/>
  <c r="B185" i="24"/>
  <c r="C185" i="24" s="1"/>
  <c r="I185" i="25"/>
  <c r="G185" i="25" s="1"/>
  <c r="C31" i="48" s="1"/>
  <c r="D31" i="48" s="1"/>
  <c r="B185" i="25"/>
  <c r="E10" i="23" s="1"/>
  <c r="F182" i="16"/>
  <c r="E183" i="16"/>
  <c r="D183" i="16" s="1"/>
  <c r="E183" i="17" s="1"/>
  <c r="I183" i="17"/>
  <c r="G183" i="17" s="1"/>
  <c r="A184" i="16"/>
  <c r="B183" i="16"/>
  <c r="C183" i="16" s="1"/>
  <c r="F185" i="24" l="1"/>
  <c r="F184" i="24"/>
  <c r="A185" i="25"/>
  <c r="B31" i="48"/>
  <c r="AD31" i="42"/>
  <c r="AE31" i="42" s="1"/>
  <c r="C185" i="25"/>
  <c r="D185" i="24"/>
  <c r="F183" i="16"/>
  <c r="E184" i="25"/>
  <c r="C183" i="17"/>
  <c r="A183" i="17"/>
  <c r="E184" i="16"/>
  <c r="D184" i="16" s="1"/>
  <c r="B184" i="17"/>
  <c r="I184" i="17"/>
  <c r="G184" i="17" s="1"/>
  <c r="A185" i="16"/>
  <c r="B184" i="16"/>
  <c r="C184" i="16" s="1"/>
  <c r="F184" i="16" l="1"/>
  <c r="AC31" i="42"/>
  <c r="E184" i="17"/>
  <c r="E185" i="25"/>
  <c r="C184" i="17"/>
  <c r="A184" i="17"/>
  <c r="E185" i="16"/>
  <c r="D185" i="16" s="1"/>
  <c r="B185" i="17"/>
  <c r="E10" i="15" s="1"/>
  <c r="I185" i="17"/>
  <c r="G185" i="17" s="1"/>
  <c r="C31" i="47" s="1"/>
  <c r="D31" i="47" s="1"/>
  <c r="B185" i="16"/>
  <c r="C185" i="16" s="1"/>
  <c r="B31" i="47" l="1"/>
  <c r="P31" i="42"/>
  <c r="Q31" i="42" s="1"/>
  <c r="E185" i="17"/>
  <c r="F185" i="16"/>
  <c r="A185" i="17"/>
  <c r="C185" i="17"/>
  <c r="O31" i="42" l="1"/>
  <c r="C18" i="4" l="1"/>
  <c r="C31" i="4" s="1"/>
  <c r="C29" i="26" s="1"/>
  <c r="Q49" i="13" l="1"/>
  <c r="Q64" i="13"/>
  <c r="Q55" i="13"/>
  <c r="W64" i="13"/>
  <c r="Q59" i="13"/>
  <c r="Q72" i="13"/>
  <c r="Q62" i="13"/>
  <c r="E56" i="16" s="1"/>
  <c r="Q66" i="13"/>
  <c r="Q65" i="13"/>
  <c r="E59" i="16" s="1"/>
  <c r="Q73" i="13"/>
  <c r="W62" i="13"/>
  <c r="N62" i="13" s="1"/>
  <c r="W65" i="13"/>
  <c r="N65" i="13" s="1"/>
  <c r="W53" i="13"/>
  <c r="N53" i="13" s="1"/>
  <c r="Q53" i="13"/>
  <c r="W51" i="13"/>
  <c r="N51" i="13" s="1"/>
  <c r="Q51" i="13"/>
  <c r="E45" i="16" s="1"/>
  <c r="Q71" i="13"/>
  <c r="W69" i="13"/>
  <c r="Q69" i="13"/>
  <c r="E63" i="16" s="1"/>
  <c r="Q68" i="13"/>
  <c r="E62" i="16" s="1"/>
  <c r="Q58" i="13"/>
  <c r="E52" i="16" s="1"/>
  <c r="W57" i="13"/>
  <c r="Q57" i="13"/>
  <c r="W56" i="13"/>
  <c r="Q56" i="13"/>
  <c r="E50" i="16" s="1"/>
  <c r="W71" i="13"/>
  <c r="N71" i="13" s="1"/>
  <c r="W55" i="13"/>
  <c r="N55" i="13" s="1"/>
  <c r="W59" i="13"/>
  <c r="N59" i="13" s="1"/>
  <c r="W52" i="13"/>
  <c r="Q52" i="13"/>
  <c r="E46" i="16" s="1"/>
  <c r="W66" i="13"/>
  <c r="N66" i="13" s="1"/>
  <c r="W70" i="13"/>
  <c r="Q70" i="13"/>
  <c r="W58" i="13"/>
  <c r="N58" i="13" s="1"/>
  <c r="W54" i="13"/>
  <c r="Q54" i="13"/>
  <c r="E48" i="16" s="1"/>
  <c r="W63" i="13"/>
  <c r="N63" i="13" s="1"/>
  <c r="Q63" i="13"/>
  <c r="W61" i="13"/>
  <c r="Q61" i="13"/>
  <c r="E55" i="16" s="1"/>
  <c r="W60" i="13"/>
  <c r="Q60" i="13"/>
  <c r="E54" i="16" s="1"/>
  <c r="W67" i="13"/>
  <c r="N67" i="13" s="1"/>
  <c r="Q67" i="13"/>
  <c r="E61" i="16" s="1"/>
  <c r="W50" i="13"/>
  <c r="N50" i="13" s="1"/>
  <c r="Q50" i="13"/>
  <c r="W68" i="13"/>
  <c r="N68" i="13" s="1"/>
  <c r="W49" i="13"/>
  <c r="N49" i="13" s="1"/>
  <c r="N73" i="13"/>
  <c r="E57" i="16" l="1"/>
  <c r="E64" i="16"/>
  <c r="E51" i="16"/>
  <c r="E65" i="16"/>
  <c r="E68" i="16"/>
  <c r="E47" i="16"/>
  <c r="D47" i="16" s="1"/>
  <c r="E47" i="17" s="1"/>
  <c r="E67" i="16"/>
  <c r="D67" i="16" s="1"/>
  <c r="E67" i="17" s="1"/>
  <c r="E70" i="16"/>
  <c r="E60" i="16"/>
  <c r="E66" i="16"/>
  <c r="E69" i="16"/>
  <c r="E53" i="16"/>
  <c r="D53" i="16" s="1"/>
  <c r="E53" i="17" s="1"/>
  <c r="E49" i="16"/>
  <c r="F49" i="16" s="1"/>
  <c r="E58" i="16"/>
  <c r="D58" i="16" s="1"/>
  <c r="E58" i="17" s="1"/>
  <c r="D61" i="16"/>
  <c r="E61" i="17" s="1"/>
  <c r="F61" i="16"/>
  <c r="D48" i="16"/>
  <c r="E48" i="17" s="1"/>
  <c r="F48" i="16"/>
  <c r="F50" i="16"/>
  <c r="D50" i="16"/>
  <c r="E50" i="17" s="1"/>
  <c r="D62" i="16"/>
  <c r="E62" i="17" s="1"/>
  <c r="F62" i="16"/>
  <c r="D59" i="16"/>
  <c r="E59" i="17" s="1"/>
  <c r="F59" i="16"/>
  <c r="D57" i="16"/>
  <c r="E57" i="17" s="1"/>
  <c r="F57" i="16"/>
  <c r="D51" i="16"/>
  <c r="E51" i="17" s="1"/>
  <c r="F51" i="16"/>
  <c r="D60" i="16"/>
  <c r="E60" i="17" s="1"/>
  <c r="F60" i="16"/>
  <c r="F55" i="16"/>
  <c r="D55" i="16"/>
  <c r="E55" i="17" s="1"/>
  <c r="F52" i="16"/>
  <c r="D52" i="16"/>
  <c r="E52" i="17" s="1"/>
  <c r="D45" i="16"/>
  <c r="E45" i="17" s="1"/>
  <c r="D54" i="16"/>
  <c r="E54" i="17" s="1"/>
  <c r="F54" i="16"/>
  <c r="F46" i="16"/>
  <c r="D46" i="16"/>
  <c r="E46" i="17" s="1"/>
  <c r="D56" i="16"/>
  <c r="E56" i="17" s="1"/>
  <c r="F56" i="16"/>
  <c r="D64" i="16"/>
  <c r="E64" i="17" s="1"/>
  <c r="F64" i="16"/>
  <c r="D63" i="16"/>
  <c r="E63" i="17" s="1"/>
  <c r="F63" i="16"/>
  <c r="F65" i="16"/>
  <c r="D65" i="16"/>
  <c r="E65" i="17" s="1"/>
  <c r="D66" i="16"/>
  <c r="E66" i="17" s="1"/>
  <c r="F66" i="16"/>
  <c r="N70" i="13"/>
  <c r="N60" i="13"/>
  <c r="N54" i="13"/>
  <c r="N52" i="13"/>
  <c r="N56" i="13"/>
  <c r="N69" i="13"/>
  <c r="N61" i="13"/>
  <c r="N57" i="13"/>
  <c r="N72" i="13"/>
  <c r="N64" i="13"/>
  <c r="R62" i="13"/>
  <c r="R66" i="13"/>
  <c r="R54" i="13"/>
  <c r="R63" i="13"/>
  <c r="R58" i="13"/>
  <c r="R59" i="13"/>
  <c r="R52" i="13"/>
  <c r="R51" i="13"/>
  <c r="E45" i="24" s="1"/>
  <c r="R60" i="13"/>
  <c r="R72" i="13"/>
  <c r="R65" i="13"/>
  <c r="R55" i="13"/>
  <c r="E49" i="24" s="1"/>
  <c r="R67" i="13"/>
  <c r="R64" i="13"/>
  <c r="R68" i="13"/>
  <c r="R73" i="13"/>
  <c r="R50" i="13"/>
  <c r="R61" i="13"/>
  <c r="X50" i="13"/>
  <c r="O50" i="13" s="1"/>
  <c r="P50" i="13" s="1"/>
  <c r="X59" i="13"/>
  <c r="O59" i="13" s="1"/>
  <c r="P59" i="13" s="1"/>
  <c r="X67" i="13"/>
  <c r="O67" i="13" s="1"/>
  <c r="P67" i="13" s="1"/>
  <c r="R57" i="13"/>
  <c r="R70" i="13"/>
  <c r="E64" i="24" s="1"/>
  <c r="X55" i="13"/>
  <c r="Y55" i="13" s="1"/>
  <c r="X63" i="13"/>
  <c r="O63" i="13" s="1"/>
  <c r="P63" i="13" s="1"/>
  <c r="R56" i="13"/>
  <c r="X62" i="13"/>
  <c r="Y62" i="13" s="1"/>
  <c r="X70" i="13"/>
  <c r="O70" i="13" s="1"/>
  <c r="X52" i="13"/>
  <c r="O52" i="13" s="1"/>
  <c r="X60" i="13"/>
  <c r="O60" i="13" s="1"/>
  <c r="X68" i="13"/>
  <c r="Y68" i="13" s="1"/>
  <c r="R69" i="13"/>
  <c r="E63" i="24" s="1"/>
  <c r="X58" i="13"/>
  <c r="O58" i="13" s="1"/>
  <c r="P58" i="13" s="1"/>
  <c r="X61" i="13"/>
  <c r="Y61" i="13" s="1"/>
  <c r="X69" i="13"/>
  <c r="O69" i="13" s="1"/>
  <c r="X71" i="13"/>
  <c r="O71" i="13" s="1"/>
  <c r="P71" i="13" s="1"/>
  <c r="R71" i="13"/>
  <c r="S71" i="13"/>
  <c r="X66" i="13"/>
  <c r="O66" i="13" s="1"/>
  <c r="P66" i="13" s="1"/>
  <c r="X56" i="13"/>
  <c r="Y56" i="13" s="1"/>
  <c r="X64" i="13"/>
  <c r="O64" i="13" s="1"/>
  <c r="O72" i="13"/>
  <c r="P72" i="13" s="1"/>
  <c r="X53" i="13"/>
  <c r="O53" i="13" s="1"/>
  <c r="P53" i="13" s="1"/>
  <c r="R53" i="13"/>
  <c r="E47" i="24" s="1"/>
  <c r="R49" i="13"/>
  <c r="S49" i="13"/>
  <c r="X54" i="13"/>
  <c r="O54" i="13" s="1"/>
  <c r="X57" i="13"/>
  <c r="O57" i="13" s="1"/>
  <c r="Y57" i="13"/>
  <c r="X65" i="13"/>
  <c r="O65" i="13" s="1"/>
  <c r="P65" i="13" s="1"/>
  <c r="O73" i="13"/>
  <c r="P73" i="13" s="1"/>
  <c r="X51" i="13"/>
  <c r="O51" i="13" s="1"/>
  <c r="P51" i="13" s="1"/>
  <c r="X49" i="13"/>
  <c r="O49" i="13" s="1"/>
  <c r="P49" i="13" s="1"/>
  <c r="F53" i="16" l="1"/>
  <c r="F58" i="16"/>
  <c r="F67" i="16"/>
  <c r="F47" i="16"/>
  <c r="D49" i="16"/>
  <c r="E49" i="17" s="1"/>
  <c r="F70" i="2"/>
  <c r="F69" i="2"/>
  <c r="E68" i="2"/>
  <c r="D68" i="2" s="1"/>
  <c r="E68" i="8" s="1"/>
  <c r="E65" i="24"/>
  <c r="D65" i="24" s="1"/>
  <c r="E65" i="25" s="1"/>
  <c r="E68" i="24"/>
  <c r="F68" i="2"/>
  <c r="E50" i="24"/>
  <c r="E55" i="24"/>
  <c r="S61" i="13"/>
  <c r="E67" i="24"/>
  <c r="F67" i="24" s="1"/>
  <c r="E70" i="24"/>
  <c r="E62" i="24"/>
  <c r="F62" i="24" s="1"/>
  <c r="S68" i="13"/>
  <c r="E58" i="24"/>
  <c r="D58" i="24" s="1"/>
  <c r="E58" i="25" s="1"/>
  <c r="E61" i="24"/>
  <c r="S67" i="13"/>
  <c r="E66" i="24"/>
  <c r="E69" i="24"/>
  <c r="E46" i="24"/>
  <c r="D46" i="24" s="1"/>
  <c r="E46" i="25" s="1"/>
  <c r="E52" i="24"/>
  <c r="F52" i="24" s="1"/>
  <c r="E48" i="24"/>
  <c r="D48" i="24" s="1"/>
  <c r="E48" i="25" s="1"/>
  <c r="S54" i="13"/>
  <c r="E60" i="24"/>
  <c r="D60" i="24" s="1"/>
  <c r="E60" i="25" s="1"/>
  <c r="E56" i="24"/>
  <c r="S62" i="13"/>
  <c r="D69" i="16"/>
  <c r="E69" i="17" s="1"/>
  <c r="F69" i="16"/>
  <c r="D70" i="16"/>
  <c r="E70" i="17" s="1"/>
  <c r="F70" i="16"/>
  <c r="D68" i="16"/>
  <c r="E68" i="17" s="1"/>
  <c r="F68" i="16"/>
  <c r="Y69" i="13"/>
  <c r="Y51" i="13"/>
  <c r="Y50" i="13"/>
  <c r="S51" i="13"/>
  <c r="E45" i="2" s="1"/>
  <c r="D45" i="2" s="1"/>
  <c r="E45" i="8" s="1"/>
  <c r="S58" i="13"/>
  <c r="Y66" i="13"/>
  <c r="Y65" i="13"/>
  <c r="Y54" i="13"/>
  <c r="Y70" i="13"/>
  <c r="Y63" i="13"/>
  <c r="Y73" i="13"/>
  <c r="Y60" i="13"/>
  <c r="P64" i="13"/>
  <c r="P69" i="13"/>
  <c r="F66" i="2" s="1"/>
  <c r="P70" i="13"/>
  <c r="D50" i="24"/>
  <c r="E50" i="25" s="1"/>
  <c r="F50" i="24"/>
  <c r="S60" i="13"/>
  <c r="E54" i="24"/>
  <c r="S63" i="13"/>
  <c r="E57" i="2" s="1"/>
  <c r="D57" i="2" s="1"/>
  <c r="E57" i="8" s="1"/>
  <c r="E57" i="24"/>
  <c r="P60" i="13"/>
  <c r="F57" i="2" s="1"/>
  <c r="D55" i="24"/>
  <c r="E55" i="25" s="1"/>
  <c r="F55" i="24"/>
  <c r="S64" i="13"/>
  <c r="E58" i="2" s="1"/>
  <c r="D58" i="2" s="1"/>
  <c r="E58" i="8" s="1"/>
  <c r="S55" i="13"/>
  <c r="D45" i="24"/>
  <c r="E45" i="25" s="1"/>
  <c r="S59" i="13"/>
  <c r="E53" i="24"/>
  <c r="D56" i="24"/>
  <c r="E56" i="25" s="1"/>
  <c r="F56" i="24"/>
  <c r="D47" i="24"/>
  <c r="E47" i="25" s="1"/>
  <c r="F47" i="24"/>
  <c r="S57" i="13"/>
  <c r="E51" i="2" s="1"/>
  <c r="D51" i="2" s="1"/>
  <c r="E51" i="8" s="1"/>
  <c r="E51" i="24"/>
  <c r="S50" i="13"/>
  <c r="D49" i="24"/>
  <c r="E49" i="25" s="1"/>
  <c r="F49" i="24"/>
  <c r="S52" i="13"/>
  <c r="E46" i="2" s="1"/>
  <c r="D46" i="2" s="1"/>
  <c r="E46" i="8" s="1"/>
  <c r="S66" i="13"/>
  <c r="E60" i="2" s="1"/>
  <c r="D60" i="2" s="1"/>
  <c r="E60" i="8" s="1"/>
  <c r="S53" i="13"/>
  <c r="E47" i="2" s="1"/>
  <c r="D47" i="2" s="1"/>
  <c r="E47" i="8" s="1"/>
  <c r="S56" i="13"/>
  <c r="E50" i="2" s="1"/>
  <c r="D50" i="2" s="1"/>
  <c r="E50" i="8" s="1"/>
  <c r="D61" i="24"/>
  <c r="E61" i="25" s="1"/>
  <c r="F61" i="24"/>
  <c r="S65" i="13"/>
  <c r="E59" i="2" s="1"/>
  <c r="D59" i="2" s="1"/>
  <c r="E59" i="8" s="1"/>
  <c r="E59" i="24"/>
  <c r="S69" i="13"/>
  <c r="E63" i="2" s="1"/>
  <c r="D63" i="2" s="1"/>
  <c r="E63" i="8" s="1"/>
  <c r="S72" i="13"/>
  <c r="D63" i="24"/>
  <c r="E63" i="25" s="1"/>
  <c r="F63" i="24"/>
  <c r="S70" i="13"/>
  <c r="E64" i="2" s="1"/>
  <c r="D64" i="2" s="1"/>
  <c r="E64" i="8" s="1"/>
  <c r="D64" i="24"/>
  <c r="E64" i="25" s="1"/>
  <c r="F64" i="24"/>
  <c r="D66" i="24"/>
  <c r="E66" i="25" s="1"/>
  <c r="F66" i="24"/>
  <c r="S73" i="13"/>
  <c r="F60" i="2"/>
  <c r="P52" i="13"/>
  <c r="F46" i="2" s="1"/>
  <c r="F47" i="2"/>
  <c r="P57" i="13"/>
  <c r="F54" i="2" s="1"/>
  <c r="P54" i="13"/>
  <c r="F48" i="2" s="1"/>
  <c r="Y49" i="13"/>
  <c r="Y58" i="13"/>
  <c r="Y52" i="13"/>
  <c r="Y59" i="13"/>
  <c r="O62" i="13"/>
  <c r="P62" i="13" s="1"/>
  <c r="Y64" i="13"/>
  <c r="Y53" i="13"/>
  <c r="O55" i="13"/>
  <c r="P55" i="13" s="1"/>
  <c r="O68" i="13"/>
  <c r="P68" i="13" s="1"/>
  <c r="O61" i="13"/>
  <c r="P61" i="13" s="1"/>
  <c r="F55" i="2" s="1"/>
  <c r="O56" i="13"/>
  <c r="P56" i="13" s="1"/>
  <c r="F53" i="2" s="1"/>
  <c r="Y71" i="13"/>
  <c r="F63" i="2" s="1"/>
  <c r="Y67" i="13"/>
  <c r="F59" i="2" s="1"/>
  <c r="F58" i="24" l="1"/>
  <c r="D52" i="24"/>
  <c r="E52" i="25" s="1"/>
  <c r="F65" i="24"/>
  <c r="D62" i="24"/>
  <c r="E62" i="25" s="1"/>
  <c r="F60" i="24"/>
  <c r="F48" i="24"/>
  <c r="F46" i="24"/>
  <c r="D67" i="24"/>
  <c r="E67" i="25" s="1"/>
  <c r="F62" i="2"/>
  <c r="F65" i="2"/>
  <c r="F49" i="2"/>
  <c r="F52" i="2"/>
  <c r="E67" i="2"/>
  <c r="D67" i="2" s="1"/>
  <c r="E67" i="8" s="1"/>
  <c r="E70" i="2"/>
  <c r="D70" i="2" s="1"/>
  <c r="E70" i="8" s="1"/>
  <c r="E66" i="2"/>
  <c r="D66" i="2" s="1"/>
  <c r="E66" i="8" s="1"/>
  <c r="E69" i="2"/>
  <c r="D69" i="2" s="1"/>
  <c r="E69" i="8" s="1"/>
  <c r="E53" i="2"/>
  <c r="D53" i="2" s="1"/>
  <c r="E53" i="8" s="1"/>
  <c r="E49" i="2"/>
  <c r="D49" i="2" s="1"/>
  <c r="E49" i="8" s="1"/>
  <c r="E54" i="2"/>
  <c r="D54" i="2" s="1"/>
  <c r="E54" i="8" s="1"/>
  <c r="F64" i="2"/>
  <c r="F67" i="2"/>
  <c r="F58" i="2"/>
  <c r="E52" i="2"/>
  <c r="D52" i="2" s="1"/>
  <c r="E52" i="8" s="1"/>
  <c r="F61" i="2"/>
  <c r="E56" i="2"/>
  <c r="D56" i="2" s="1"/>
  <c r="E56" i="8" s="1"/>
  <c r="E48" i="2"/>
  <c r="D48" i="2" s="1"/>
  <c r="E48" i="8" s="1"/>
  <c r="D69" i="24"/>
  <c r="E69" i="25" s="1"/>
  <c r="F69" i="24"/>
  <c r="E61" i="2"/>
  <c r="D61" i="2" s="1"/>
  <c r="E61" i="8" s="1"/>
  <c r="E62" i="2"/>
  <c r="D62" i="2" s="1"/>
  <c r="E62" i="8" s="1"/>
  <c r="E65" i="2"/>
  <c r="D65" i="2" s="1"/>
  <c r="E65" i="8" s="1"/>
  <c r="D70" i="24"/>
  <c r="E70" i="25" s="1"/>
  <c r="F70" i="24"/>
  <c r="E55" i="2"/>
  <c r="D55" i="2" s="1"/>
  <c r="E55" i="8" s="1"/>
  <c r="D68" i="24"/>
  <c r="E68" i="25" s="1"/>
  <c r="F68" i="24"/>
  <c r="F56" i="2"/>
  <c r="D59" i="24"/>
  <c r="E59" i="25" s="1"/>
  <c r="F59" i="24"/>
  <c r="D57" i="24"/>
  <c r="E57" i="25" s="1"/>
  <c r="F57" i="24"/>
  <c r="D54" i="24"/>
  <c r="E54" i="25" s="1"/>
  <c r="F54" i="24"/>
  <c r="D51" i="24"/>
  <c r="E51" i="25" s="1"/>
  <c r="F51" i="24"/>
  <c r="D53" i="24"/>
  <c r="E53" i="25" s="1"/>
  <c r="F53" i="24"/>
  <c r="F51" i="2"/>
  <c r="F50" i="2"/>
  <c r="B53" i="34" l="1"/>
  <c r="B52" i="34"/>
  <c r="C49" i="34" l="1"/>
  <c r="C55" i="34" s="1"/>
  <c r="B6" i="13" l="1"/>
  <c r="B46" i="13"/>
  <c r="C54" i="34"/>
  <c r="B30" i="13" l="1"/>
  <c r="B40" i="13"/>
  <c r="B10" i="13"/>
  <c r="B38" i="13"/>
  <c r="B22" i="13"/>
  <c r="B41" i="13"/>
  <c r="B21" i="13"/>
  <c r="B26" i="13"/>
  <c r="B33" i="13"/>
  <c r="B18" i="13"/>
  <c r="B24" i="13"/>
  <c r="B15" i="13"/>
  <c r="B39" i="13"/>
  <c r="B29" i="13"/>
  <c r="B19" i="13"/>
  <c r="B17" i="13"/>
  <c r="B35" i="13"/>
  <c r="C52" i="34"/>
  <c r="B43" i="13"/>
  <c r="B36" i="13"/>
  <c r="B16" i="13"/>
  <c r="B14" i="13"/>
  <c r="B34" i="13"/>
  <c r="B12" i="13"/>
  <c r="K6" i="13"/>
  <c r="B7" i="13"/>
  <c r="B28" i="13"/>
  <c r="B27" i="13"/>
  <c r="B9" i="13"/>
  <c r="B11" i="13"/>
  <c r="B23" i="13"/>
  <c r="B25" i="13"/>
  <c r="B31" i="13"/>
  <c r="B13" i="13"/>
  <c r="B44" i="13"/>
  <c r="B20" i="13"/>
  <c r="C53" i="34"/>
  <c r="B47" i="13"/>
  <c r="E48" i="13" s="1"/>
  <c r="B32" i="13"/>
  <c r="B42" i="13"/>
  <c r="B37" i="13"/>
  <c r="B45" i="13"/>
  <c r="B8" i="13"/>
  <c r="K25" i="13" l="1"/>
  <c r="K17" i="13"/>
  <c r="K15" i="13"/>
  <c r="K8" i="13"/>
  <c r="K32" i="13"/>
  <c r="K44" i="13"/>
  <c r="K23" i="13"/>
  <c r="K28" i="13"/>
  <c r="B22" i="16" s="1"/>
  <c r="K34" i="13"/>
  <c r="K43" i="13"/>
  <c r="K12" i="13"/>
  <c r="K26" i="13"/>
  <c r="B20" i="16" s="1"/>
  <c r="K19" i="13"/>
  <c r="K24" i="13"/>
  <c r="K21" i="13"/>
  <c r="K10" i="13"/>
  <c r="K42" i="13"/>
  <c r="K38" i="13"/>
  <c r="K45" i="13"/>
  <c r="K47" i="13"/>
  <c r="F49" i="34"/>
  <c r="F55" i="34" s="1"/>
  <c r="K13" i="13"/>
  <c r="B7" i="16" s="1"/>
  <c r="K11" i="13"/>
  <c r="B5" i="16" s="1"/>
  <c r="K7" i="13"/>
  <c r="K14" i="13"/>
  <c r="B8" i="16" s="1"/>
  <c r="K46" i="13"/>
  <c r="K29" i="13"/>
  <c r="B23" i="16" s="1"/>
  <c r="K27" i="13"/>
  <c r="B21" i="16" s="1"/>
  <c r="K41" i="13"/>
  <c r="B35" i="16" s="1"/>
  <c r="K16" i="13"/>
  <c r="B10" i="16" s="1"/>
  <c r="K20" i="13"/>
  <c r="B14" i="16" s="1"/>
  <c r="K36" i="13"/>
  <c r="K18" i="13"/>
  <c r="B12" i="16" s="1"/>
  <c r="K40" i="13"/>
  <c r="K37" i="13"/>
  <c r="B31" i="16" s="1"/>
  <c r="K31" i="13"/>
  <c r="B25" i="16" s="1"/>
  <c r="K9" i="13"/>
  <c r="B3" i="16" s="1"/>
  <c r="A3" i="17" s="1"/>
  <c r="K35" i="13"/>
  <c r="B29" i="16" s="1"/>
  <c r="K39" i="13"/>
  <c r="B33" i="16" s="1"/>
  <c r="K33" i="13"/>
  <c r="K22" i="13"/>
  <c r="K30" i="13"/>
  <c r="B24" i="16" s="1"/>
  <c r="B16" i="16" l="1"/>
  <c r="B19" i="16"/>
  <c r="A19" i="17" s="1"/>
  <c r="B27" i="16"/>
  <c r="B34" i="16"/>
  <c r="B30" i="16"/>
  <c r="B40" i="16"/>
  <c r="B43" i="16"/>
  <c r="B41" i="16"/>
  <c r="A41" i="17" s="1"/>
  <c r="B44" i="16"/>
  <c r="B39" i="16"/>
  <c r="A39" i="17" s="1"/>
  <c r="B42" i="16"/>
  <c r="A42" i="17" s="1"/>
  <c r="B32" i="16"/>
  <c r="A32" i="17" s="1"/>
  <c r="B36" i="16"/>
  <c r="B4" i="16"/>
  <c r="C4" i="16" s="1"/>
  <c r="B15" i="16"/>
  <c r="C15" i="16" s="1"/>
  <c r="B18" i="16"/>
  <c r="A18" i="17" s="1"/>
  <c r="B13" i="16"/>
  <c r="B6" i="16"/>
  <c r="C6" i="16" s="1"/>
  <c r="B37" i="16"/>
  <c r="C37" i="16" s="1"/>
  <c r="B28" i="16"/>
  <c r="C29" i="16" s="1"/>
  <c r="B17" i="16"/>
  <c r="C17" i="16" s="1"/>
  <c r="B38" i="16"/>
  <c r="B26" i="16"/>
  <c r="C26" i="16" s="1"/>
  <c r="B9" i="16"/>
  <c r="C9" i="16" s="1"/>
  <c r="B11" i="16"/>
  <c r="A12" i="17"/>
  <c r="C12" i="16"/>
  <c r="A31" i="17"/>
  <c r="C31" i="16"/>
  <c r="A5" i="17"/>
  <c r="A11" i="17"/>
  <c r="C11" i="16"/>
  <c r="A24" i="17"/>
  <c r="C24" i="16"/>
  <c r="A22" i="17"/>
  <c r="C22" i="16"/>
  <c r="C32" i="16"/>
  <c r="A29" i="17"/>
  <c r="A8" i="17"/>
  <c r="C8" i="16"/>
  <c r="A4" i="17"/>
  <c r="A35" i="17"/>
  <c r="C35" i="16"/>
  <c r="A25" i="17"/>
  <c r="C25" i="16"/>
  <c r="N48" i="13"/>
  <c r="A20" i="17"/>
  <c r="C20" i="16"/>
  <c r="A23" i="17"/>
  <c r="C23" i="16"/>
  <c r="A34" i="17"/>
  <c r="C34" i="16"/>
  <c r="C30" i="16"/>
  <c r="A30" i="17"/>
  <c r="A10" i="17"/>
  <c r="C40" i="16"/>
  <c r="A40" i="17"/>
  <c r="A13" i="17"/>
  <c r="C13" i="16"/>
  <c r="C14" i="16"/>
  <c r="A14" i="17"/>
  <c r="C33" i="16"/>
  <c r="A33" i="17"/>
  <c r="A21" i="17"/>
  <c r="C21" i="16"/>
  <c r="A7" i="17"/>
  <c r="A36" i="17"/>
  <c r="C36" i="16"/>
  <c r="A6" i="17"/>
  <c r="A28" i="17"/>
  <c r="A17" i="17"/>
  <c r="A16" i="17"/>
  <c r="A15" i="17" l="1"/>
  <c r="C16" i="16"/>
  <c r="C39" i="16"/>
  <c r="C7" i="16"/>
  <c r="A37" i="17"/>
  <c r="C5" i="16"/>
  <c r="A38" i="17"/>
  <c r="A9" i="17"/>
  <c r="C10" i="16"/>
  <c r="A26" i="17"/>
  <c r="C18" i="16"/>
  <c r="C18" i="17" s="1"/>
  <c r="C19" i="16"/>
  <c r="C19" i="17" s="1"/>
  <c r="C38" i="16"/>
  <c r="C38" i="17" s="1"/>
  <c r="C28" i="16"/>
  <c r="C28" i="17" s="1"/>
  <c r="C42" i="16"/>
  <c r="C42" i="17" s="1"/>
  <c r="C27" i="16"/>
  <c r="C27" i="17" s="1"/>
  <c r="A27" i="17"/>
  <c r="C41" i="16"/>
  <c r="C41" i="17" s="1"/>
  <c r="C44" i="16"/>
  <c r="C44" i="17" s="1"/>
  <c r="A44" i="17"/>
  <c r="C45" i="16"/>
  <c r="C43" i="16"/>
  <c r="C43" i="17" s="1"/>
  <c r="A43" i="17"/>
  <c r="C9" i="17"/>
  <c r="C6" i="17"/>
  <c r="C22" i="17"/>
  <c r="C31" i="17"/>
  <c r="C21" i="17"/>
  <c r="C33" i="17"/>
  <c r="C26" i="17"/>
  <c r="C40" i="17"/>
  <c r="C23" i="17"/>
  <c r="C25" i="17"/>
  <c r="C37" i="17"/>
  <c r="C24" i="17"/>
  <c r="C5" i="17"/>
  <c r="C36" i="17"/>
  <c r="C13" i="17"/>
  <c r="C20" i="17"/>
  <c r="C16" i="17"/>
  <c r="C10" i="17"/>
  <c r="C17" i="17"/>
  <c r="C39" i="17"/>
  <c r="C14" i="17"/>
  <c r="C35" i="17"/>
  <c r="C8" i="17"/>
  <c r="C32" i="17"/>
  <c r="C11" i="17"/>
  <c r="C7" i="17"/>
  <c r="C15" i="17"/>
  <c r="C30" i="17"/>
  <c r="C4" i="17"/>
  <c r="C12" i="17"/>
  <c r="C34" i="17"/>
  <c r="C29" i="17"/>
  <c r="E6" i="15" l="1"/>
  <c r="C45" i="17"/>
  <c r="F45" i="16"/>
  <c r="D49" i="34"/>
  <c r="B49" i="34" s="1"/>
  <c r="B54" i="34" s="1"/>
  <c r="C10" i="13"/>
  <c r="C6" i="13" l="1"/>
  <c r="L6" i="13" s="1"/>
  <c r="AE6" i="13" s="1"/>
  <c r="C32" i="13"/>
  <c r="C14" i="13"/>
  <c r="B55" i="34"/>
  <c r="C47" i="13"/>
  <c r="F48" i="13" s="1"/>
  <c r="G48" i="13" s="1"/>
  <c r="C17" i="13"/>
  <c r="D17" i="13" s="1"/>
  <c r="AD10" i="13"/>
  <c r="L10" i="13"/>
  <c r="D10" i="13"/>
  <c r="C39" i="13"/>
  <c r="D6" i="13"/>
  <c r="C7" i="13"/>
  <c r="D55" i="34"/>
  <c r="AD6" i="13" l="1"/>
  <c r="D54" i="34"/>
  <c r="M6" i="13"/>
  <c r="AD17" i="13"/>
  <c r="L17" i="13"/>
  <c r="C15" i="13"/>
  <c r="C8" i="13"/>
  <c r="C20" i="13"/>
  <c r="D52" i="34"/>
  <c r="C46" i="13"/>
  <c r="C44" i="13"/>
  <c r="C33" i="13"/>
  <c r="C23" i="13"/>
  <c r="C16" i="13"/>
  <c r="C38" i="13"/>
  <c r="C27" i="13"/>
  <c r="C37" i="13"/>
  <c r="D47" i="13"/>
  <c r="L47" i="13"/>
  <c r="AD47" i="13"/>
  <c r="M10" i="13"/>
  <c r="AE10" i="13"/>
  <c r="C19" i="13"/>
  <c r="D53" i="34"/>
  <c r="AD7" i="13"/>
  <c r="L7" i="13"/>
  <c r="B4" i="24" s="1"/>
  <c r="A4" i="25" s="1"/>
  <c r="D7" i="13"/>
  <c r="D14" i="13"/>
  <c r="AD14" i="13"/>
  <c r="L14" i="13"/>
  <c r="C26" i="13"/>
  <c r="C42" i="13"/>
  <c r="C35" i="13"/>
  <c r="C18" i="13"/>
  <c r="C41" i="13"/>
  <c r="D32" i="13"/>
  <c r="AD32" i="13"/>
  <c r="L32" i="13"/>
  <c r="C9" i="13"/>
  <c r="C31" i="13"/>
  <c r="C45" i="13"/>
  <c r="C13" i="13"/>
  <c r="C21" i="13"/>
  <c r="C22" i="13"/>
  <c r="C12" i="13"/>
  <c r="C30" i="13"/>
  <c r="C36" i="13"/>
  <c r="C34" i="13"/>
  <c r="C24" i="13"/>
  <c r="C40" i="13"/>
  <c r="C43" i="13"/>
  <c r="C25" i="13"/>
  <c r="C28" i="13"/>
  <c r="C29" i="13"/>
  <c r="C11" i="13"/>
  <c r="D39" i="13"/>
  <c r="L39" i="13"/>
  <c r="AD39" i="13"/>
  <c r="B44" i="24" l="1"/>
  <c r="B11" i="24"/>
  <c r="A11" i="25" s="1"/>
  <c r="AE17" i="13"/>
  <c r="M17" i="13"/>
  <c r="O48" i="13"/>
  <c r="P48" i="13" s="1"/>
  <c r="F45" i="2" s="1"/>
  <c r="D20" i="13"/>
  <c r="L20" i="13"/>
  <c r="B14" i="24" s="1"/>
  <c r="AD20" i="13"/>
  <c r="D21" i="13"/>
  <c r="L21" i="13"/>
  <c r="AD21" i="13"/>
  <c r="L9" i="13"/>
  <c r="B3" i="24" s="1"/>
  <c r="D9" i="13"/>
  <c r="AD9" i="13"/>
  <c r="M47" i="13"/>
  <c r="AE47" i="13"/>
  <c r="D27" i="13"/>
  <c r="AD27" i="13"/>
  <c r="L27" i="13"/>
  <c r="D33" i="13"/>
  <c r="L33" i="13"/>
  <c r="AD33" i="13"/>
  <c r="D23" i="13"/>
  <c r="L23" i="13"/>
  <c r="AD23" i="13"/>
  <c r="B17" i="24"/>
  <c r="AE39" i="13"/>
  <c r="M39" i="13"/>
  <c r="D43" i="13"/>
  <c r="L43" i="13"/>
  <c r="AD43" i="13"/>
  <c r="D41" i="13"/>
  <c r="AD41" i="13"/>
  <c r="L41" i="13"/>
  <c r="AE7" i="13"/>
  <c r="M7" i="13"/>
  <c r="B4" i="2" s="1"/>
  <c r="A4" i="8" s="1"/>
  <c r="L8" i="13"/>
  <c r="D8" i="13"/>
  <c r="AD8" i="13"/>
  <c r="D29" i="13"/>
  <c r="L29" i="13"/>
  <c r="B26" i="24" s="1"/>
  <c r="AD29" i="13"/>
  <c r="D34" i="13"/>
  <c r="L34" i="13"/>
  <c r="AD34" i="13"/>
  <c r="D42" i="13"/>
  <c r="L42" i="13"/>
  <c r="B36" i="24" s="1"/>
  <c r="AD42" i="13"/>
  <c r="D19" i="13"/>
  <c r="L19" i="13"/>
  <c r="AD19" i="13"/>
  <c r="D31" i="13"/>
  <c r="L31" i="13"/>
  <c r="AD31" i="13"/>
  <c r="D28" i="13"/>
  <c r="AD28" i="13"/>
  <c r="L28" i="13"/>
  <c r="D36" i="13"/>
  <c r="L36" i="13"/>
  <c r="AD36" i="13"/>
  <c r="D26" i="13"/>
  <c r="L26" i="13"/>
  <c r="AD26" i="13"/>
  <c r="D25" i="13"/>
  <c r="L25" i="13"/>
  <c r="AD25" i="13"/>
  <c r="D13" i="13"/>
  <c r="AD13" i="13"/>
  <c r="L13" i="13"/>
  <c r="B7" i="24" s="1"/>
  <c r="D38" i="13"/>
  <c r="L38" i="13"/>
  <c r="AD38" i="13"/>
  <c r="D44" i="13"/>
  <c r="L44" i="13"/>
  <c r="AD44" i="13"/>
  <c r="D22" i="13"/>
  <c r="AD22" i="13"/>
  <c r="L22" i="13"/>
  <c r="B16" i="24" s="1"/>
  <c r="D37" i="13"/>
  <c r="L37" i="13"/>
  <c r="B31" i="24" s="1"/>
  <c r="AD37" i="13"/>
  <c r="D11" i="13"/>
  <c r="L11" i="13"/>
  <c r="AD11" i="13"/>
  <c r="A26" i="25"/>
  <c r="D35" i="13"/>
  <c r="AD35" i="13"/>
  <c r="L35" i="13"/>
  <c r="B29" i="24" s="1"/>
  <c r="D15" i="13"/>
  <c r="L15" i="13"/>
  <c r="AD15" i="13"/>
  <c r="D40" i="13"/>
  <c r="L40" i="13"/>
  <c r="B34" i="24" s="1"/>
  <c r="AD40" i="13"/>
  <c r="AD30" i="13"/>
  <c r="D30" i="13"/>
  <c r="L30" i="13"/>
  <c r="B24" i="24" s="1"/>
  <c r="D18" i="13"/>
  <c r="L18" i="13"/>
  <c r="B12" i="24" s="1"/>
  <c r="AD18" i="13"/>
  <c r="D24" i="13"/>
  <c r="AD24" i="13"/>
  <c r="L24" i="13"/>
  <c r="D12" i="13"/>
  <c r="B6" i="24"/>
  <c r="AD12" i="13"/>
  <c r="L12" i="13"/>
  <c r="D45" i="13"/>
  <c r="B39" i="24"/>
  <c r="AD45" i="13"/>
  <c r="L45" i="13"/>
  <c r="B42" i="24" s="1"/>
  <c r="AE32" i="13"/>
  <c r="M32" i="13"/>
  <c r="M14" i="13"/>
  <c r="AE14" i="13"/>
  <c r="D16" i="13"/>
  <c r="L16" i="13"/>
  <c r="B10" i="24" s="1"/>
  <c r="AD16" i="13"/>
  <c r="L46" i="13"/>
  <c r="AD46" i="13"/>
  <c r="D46" i="13"/>
  <c r="B40" i="24" l="1"/>
  <c r="B43" i="24"/>
  <c r="C44" i="24" s="1"/>
  <c r="C44" i="25" s="1"/>
  <c r="A42" i="25"/>
  <c r="B18" i="24"/>
  <c r="B21" i="24"/>
  <c r="B9" i="24"/>
  <c r="B5" i="24"/>
  <c r="C6" i="24" s="1"/>
  <c r="B8" i="24"/>
  <c r="A8" i="25" s="1"/>
  <c r="B38" i="24"/>
  <c r="B41" i="24"/>
  <c r="C41" i="24" s="1"/>
  <c r="B32" i="24"/>
  <c r="B19" i="24"/>
  <c r="B20" i="24"/>
  <c r="A20" i="25" s="1"/>
  <c r="B23" i="24"/>
  <c r="B30" i="24"/>
  <c r="C30" i="24" s="1"/>
  <c r="B33" i="24"/>
  <c r="A33" i="25" s="1"/>
  <c r="B22" i="24"/>
  <c r="B25" i="24"/>
  <c r="C26" i="24" s="1"/>
  <c r="C26" i="25" s="1"/>
  <c r="B28" i="24"/>
  <c r="B13" i="24"/>
  <c r="C13" i="24" s="1"/>
  <c r="B35" i="24"/>
  <c r="C35" i="24" s="1"/>
  <c r="B37" i="24"/>
  <c r="C38" i="24" s="1"/>
  <c r="B27" i="24"/>
  <c r="C28" i="24" s="1"/>
  <c r="B44" i="2"/>
  <c r="B15" i="24"/>
  <c r="B11" i="2"/>
  <c r="A11" i="8" s="1"/>
  <c r="A44" i="25"/>
  <c r="C45" i="24"/>
  <c r="A38" i="25"/>
  <c r="A40" i="25"/>
  <c r="C40" i="24"/>
  <c r="AE46" i="13"/>
  <c r="M46" i="13"/>
  <c r="M24" i="13"/>
  <c r="AE24" i="13"/>
  <c r="A12" i="25"/>
  <c r="C12" i="24"/>
  <c r="A34" i="25"/>
  <c r="A9" i="25"/>
  <c r="A32" i="25"/>
  <c r="C32" i="24"/>
  <c r="M41" i="13"/>
  <c r="AE41" i="13"/>
  <c r="A15" i="25"/>
  <c r="C15" i="24"/>
  <c r="AE15" i="13"/>
  <c r="M15" i="13"/>
  <c r="M28" i="13"/>
  <c r="AE28" i="13"/>
  <c r="M42" i="13"/>
  <c r="B36" i="2" s="1"/>
  <c r="AE42" i="13"/>
  <c r="M20" i="13"/>
  <c r="B14" i="2" s="1"/>
  <c r="AE20" i="13"/>
  <c r="M12" i="13"/>
  <c r="AE12" i="13"/>
  <c r="A24" i="25"/>
  <c r="C24" i="24"/>
  <c r="M44" i="13"/>
  <c r="AE44" i="13"/>
  <c r="M25" i="13"/>
  <c r="AE25" i="13"/>
  <c r="A23" i="25"/>
  <c r="C23" i="24"/>
  <c r="AE21" i="13"/>
  <c r="M21" i="13"/>
  <c r="A36" i="25"/>
  <c r="M22" i="13"/>
  <c r="AE22" i="13"/>
  <c r="A17" i="25"/>
  <c r="C17" i="24"/>
  <c r="M27" i="13"/>
  <c r="B21" i="2" s="1"/>
  <c r="AE27" i="13"/>
  <c r="A3" i="25"/>
  <c r="C4" i="24"/>
  <c r="A25" i="25"/>
  <c r="A18" i="25"/>
  <c r="C18" i="24"/>
  <c r="M8" i="13"/>
  <c r="AE8" i="13"/>
  <c r="A28" i="25"/>
  <c r="M40" i="13"/>
  <c r="AE40" i="13"/>
  <c r="M30" i="13"/>
  <c r="B24" i="2" s="1"/>
  <c r="AE30" i="13"/>
  <c r="AE26" i="13"/>
  <c r="M26" i="13"/>
  <c r="A31" i="25"/>
  <c r="A7" i="25"/>
  <c r="C7" i="24"/>
  <c r="M19" i="13"/>
  <c r="AE19" i="13"/>
  <c r="M29" i="13"/>
  <c r="AE29" i="13"/>
  <c r="M45" i="13"/>
  <c r="AE45" i="13"/>
  <c r="A6" i="25"/>
  <c r="M18" i="13"/>
  <c r="B12" i="2" s="1"/>
  <c r="AE18" i="13"/>
  <c r="M35" i="13"/>
  <c r="B29" i="2" s="1"/>
  <c r="AE35" i="13"/>
  <c r="M11" i="13"/>
  <c r="AE11" i="13"/>
  <c r="M37" i="13"/>
  <c r="AE37" i="13"/>
  <c r="A16" i="25"/>
  <c r="C16" i="24"/>
  <c r="M13" i="13"/>
  <c r="B7" i="2" s="1"/>
  <c r="AE13" i="13"/>
  <c r="AE23" i="13"/>
  <c r="M23" i="13"/>
  <c r="B17" i="2" s="1"/>
  <c r="A39" i="25"/>
  <c r="C39" i="24"/>
  <c r="A22" i="25"/>
  <c r="A37" i="25"/>
  <c r="C37" i="24"/>
  <c r="M16" i="13"/>
  <c r="B10" i="2" s="1"/>
  <c r="AE16" i="13"/>
  <c r="A10" i="25"/>
  <c r="C10" i="24"/>
  <c r="C11" i="24"/>
  <c r="A29" i="25"/>
  <c r="C29" i="24"/>
  <c r="A5" i="25"/>
  <c r="M38" i="13"/>
  <c r="B32" i="2" s="1"/>
  <c r="AE38" i="13"/>
  <c r="AE36" i="13"/>
  <c r="M36" i="13"/>
  <c r="M31" i="13"/>
  <c r="B25" i="2" s="1"/>
  <c r="AE31" i="13"/>
  <c r="M34" i="13"/>
  <c r="B28" i="2" s="1"/>
  <c r="AE34" i="13"/>
  <c r="AE43" i="13"/>
  <c r="M43" i="13"/>
  <c r="B37" i="2" s="1"/>
  <c r="AE33" i="13"/>
  <c r="M33" i="13"/>
  <c r="B27" i="2" s="1"/>
  <c r="AE9" i="13"/>
  <c r="B12" i="23" s="1"/>
  <c r="M9" i="13"/>
  <c r="B3" i="2" s="1"/>
  <c r="A14" i="25"/>
  <c r="C14" i="24"/>
  <c r="A35" i="25" l="1"/>
  <c r="C36" i="24"/>
  <c r="C25" i="24"/>
  <c r="A13" i="25"/>
  <c r="C5" i="24"/>
  <c r="C34" i="24"/>
  <c r="C20" i="24"/>
  <c r="C21" i="24"/>
  <c r="C27" i="24"/>
  <c r="C9" i="24"/>
  <c r="C9" i="25" s="1"/>
  <c r="A27" i="25"/>
  <c r="A21" i="25"/>
  <c r="C22" i="24"/>
  <c r="A30" i="25"/>
  <c r="C19" i="24"/>
  <c r="C8" i="24"/>
  <c r="C8" i="25" s="1"/>
  <c r="C31" i="24"/>
  <c r="A19" i="25"/>
  <c r="B30" i="2"/>
  <c r="A30" i="8" s="1"/>
  <c r="B33" i="2"/>
  <c r="A33" i="8" s="1"/>
  <c r="B31" i="2"/>
  <c r="B5" i="2"/>
  <c r="B8" i="2"/>
  <c r="A8" i="8" s="1"/>
  <c r="B39" i="2"/>
  <c r="B42" i="2"/>
  <c r="B23" i="2"/>
  <c r="C24" i="2" s="1"/>
  <c r="C24" i="8" s="1"/>
  <c r="B26" i="2"/>
  <c r="A26" i="8" s="1"/>
  <c r="B13" i="2"/>
  <c r="A13" i="8" s="1"/>
  <c r="B20" i="2"/>
  <c r="B34" i="2"/>
  <c r="B16" i="2"/>
  <c r="C17" i="2" s="1"/>
  <c r="C17" i="8" s="1"/>
  <c r="B15" i="2"/>
  <c r="B19" i="2"/>
  <c r="B38" i="2"/>
  <c r="A38" i="8" s="1"/>
  <c r="B41" i="2"/>
  <c r="A41" i="8" s="1"/>
  <c r="B6" i="2"/>
  <c r="C6" i="2" s="1"/>
  <c r="C6" i="8" s="1"/>
  <c r="B22" i="2"/>
  <c r="A22" i="8" s="1"/>
  <c r="B9" i="2"/>
  <c r="B35" i="2"/>
  <c r="A35" i="8" s="1"/>
  <c r="B18" i="2"/>
  <c r="A18" i="8" s="1"/>
  <c r="B40" i="2"/>
  <c r="B43" i="2"/>
  <c r="C44" i="2" s="1"/>
  <c r="C44" i="8" s="1"/>
  <c r="C45" i="25"/>
  <c r="F45" i="24"/>
  <c r="A44" i="8"/>
  <c r="C45" i="2"/>
  <c r="C45" i="8" s="1"/>
  <c r="C33" i="24"/>
  <c r="C33" i="25" s="1"/>
  <c r="A41" i="25"/>
  <c r="C42" i="24"/>
  <c r="C42" i="25" s="1"/>
  <c r="C43" i="24"/>
  <c r="C43" i="25" s="1"/>
  <c r="A43" i="25"/>
  <c r="C5" i="2"/>
  <c r="C5" i="8" s="1"/>
  <c r="A5" i="8"/>
  <c r="A28" i="8"/>
  <c r="C28" i="2"/>
  <c r="C28" i="8" s="1"/>
  <c r="A17" i="8"/>
  <c r="A9" i="8"/>
  <c r="C9" i="2"/>
  <c r="C9" i="8" s="1"/>
  <c r="A3" i="8"/>
  <c r="C4" i="2"/>
  <c r="C4" i="8" s="1"/>
  <c r="A37" i="8"/>
  <c r="C37" i="2"/>
  <c r="C37" i="8" s="1"/>
  <c r="A7" i="8"/>
  <c r="C8" i="2"/>
  <c r="A31" i="8"/>
  <c r="C29" i="2"/>
  <c r="C29" i="8" s="1"/>
  <c r="A29" i="8"/>
  <c r="A34" i="8"/>
  <c r="A36" i="8"/>
  <c r="C10" i="2"/>
  <c r="C10" i="8" s="1"/>
  <c r="A10" i="8"/>
  <c r="C11" i="2"/>
  <c r="C11" i="8" s="1"/>
  <c r="B12" i="15"/>
  <c r="I3" i="16" s="1"/>
  <c r="H3" i="17" s="1"/>
  <c r="I3" i="24"/>
  <c r="H3" i="25" s="1"/>
  <c r="C25" i="2"/>
  <c r="C25" i="8" s="1"/>
  <c r="A25" i="8"/>
  <c r="A32" i="8"/>
  <c r="C21" i="2"/>
  <c r="C21" i="8" s="1"/>
  <c r="A21" i="8"/>
  <c r="A19" i="8"/>
  <c r="A14" i="8"/>
  <c r="A27" i="8"/>
  <c r="C12" i="2"/>
  <c r="C12" i="8" s="1"/>
  <c r="A12" i="8"/>
  <c r="A24" i="8"/>
  <c r="A16" i="8"/>
  <c r="C35" i="2"/>
  <c r="C35" i="8" s="1"/>
  <c r="C29" i="25"/>
  <c r="C31" i="25"/>
  <c r="C14" i="25"/>
  <c r="C34" i="25"/>
  <c r="C28" i="25"/>
  <c r="C13" i="25"/>
  <c r="C15" i="25"/>
  <c r="C20" i="25"/>
  <c r="C12" i="25"/>
  <c r="C41" i="25"/>
  <c r="C25" i="25"/>
  <c r="C6" i="25"/>
  <c r="C8" i="8"/>
  <c r="C17" i="25"/>
  <c r="C22" i="25"/>
  <c r="C5" i="25"/>
  <c r="C11" i="25"/>
  <c r="C21" i="25"/>
  <c r="C30" i="25"/>
  <c r="C16" i="25"/>
  <c r="C7" i="25"/>
  <c r="C4" i="25"/>
  <c r="C36" i="25"/>
  <c r="C27" i="25"/>
  <c r="C37" i="25"/>
  <c r="C24" i="25"/>
  <c r="C38" i="25"/>
  <c r="C10" i="25"/>
  <c r="C40" i="25"/>
  <c r="C32" i="25"/>
  <c r="C18" i="25"/>
  <c r="C35" i="25"/>
  <c r="C39" i="25"/>
  <c r="C19" i="25"/>
  <c r="C23" i="25"/>
  <c r="C36" i="2" l="1"/>
  <c r="C36" i="8" s="1"/>
  <c r="C26" i="2"/>
  <c r="C26" i="8" s="1"/>
  <c r="C34" i="2"/>
  <c r="C34" i="8" s="1"/>
  <c r="A6" i="8"/>
  <c r="C7" i="2"/>
  <c r="C7" i="8" s="1"/>
  <c r="E6" i="23"/>
  <c r="C13" i="2"/>
  <c r="C13" i="8" s="1"/>
  <c r="C14" i="2"/>
  <c r="C14" i="8" s="1"/>
  <c r="C30" i="2"/>
  <c r="C30" i="8" s="1"/>
  <c r="C33" i="2"/>
  <c r="C33" i="8" s="1"/>
  <c r="C20" i="2"/>
  <c r="C20" i="8" s="1"/>
  <c r="C31" i="2"/>
  <c r="C31" i="8" s="1"/>
  <c r="C22" i="2"/>
  <c r="C22" i="8" s="1"/>
  <c r="A20" i="8"/>
  <c r="C27" i="2"/>
  <c r="C27" i="8" s="1"/>
  <c r="C32" i="2"/>
  <c r="C32" i="8" s="1"/>
  <c r="C41" i="2"/>
  <c r="C41" i="8" s="1"/>
  <c r="A40" i="8"/>
  <c r="C23" i="2"/>
  <c r="C23" i="8" s="1"/>
  <c r="C16" i="2"/>
  <c r="C16" i="8" s="1"/>
  <c r="C40" i="2"/>
  <c r="C40" i="8" s="1"/>
  <c r="C15" i="2"/>
  <c r="C15" i="8" s="1"/>
  <c r="C39" i="2"/>
  <c r="C39" i="8" s="1"/>
  <c r="A15" i="8"/>
  <c r="A39" i="8"/>
  <c r="C19" i="2"/>
  <c r="C19" i="8" s="1"/>
  <c r="C38" i="2"/>
  <c r="C38" i="8" s="1"/>
  <c r="C18" i="2"/>
  <c r="C18" i="8" s="1"/>
  <c r="A23" i="8"/>
  <c r="A43" i="8"/>
  <c r="C43" i="2"/>
  <c r="C43" i="8" s="1"/>
  <c r="A42" i="8"/>
  <c r="C42" i="2"/>
  <c r="C42" i="8" s="1"/>
  <c r="C15" i="14"/>
  <c r="C3" i="14"/>
  <c r="R3" i="17"/>
  <c r="F5" i="47" s="1"/>
  <c r="C15" i="22"/>
  <c r="C11" i="22" s="1"/>
  <c r="R3" i="25"/>
  <c r="F5" i="48" s="1"/>
  <c r="C3" i="22"/>
  <c r="E6" i="7" l="1"/>
  <c r="G6" i="15" s="1"/>
  <c r="C6" i="15" s="1"/>
  <c r="J168" i="16" s="1"/>
  <c r="J168" i="17" s="1"/>
  <c r="P168" i="17" s="1"/>
  <c r="S5" i="42"/>
  <c r="AG5" i="42"/>
  <c r="C11" i="14"/>
  <c r="C37" i="26" s="1"/>
  <c r="C42" i="26"/>
  <c r="J152" i="16" l="1"/>
  <c r="J152" i="17" s="1"/>
  <c r="P152" i="17" s="1"/>
  <c r="J118" i="16"/>
  <c r="J118" i="17" s="1"/>
  <c r="P118" i="17" s="1"/>
  <c r="J137" i="16"/>
  <c r="J137" i="17" s="1"/>
  <c r="P137" i="17" s="1"/>
  <c r="J128" i="16"/>
  <c r="J128" i="17" s="1"/>
  <c r="P128" i="17" s="1"/>
  <c r="J165" i="16"/>
  <c r="J165" i="17" s="1"/>
  <c r="P165" i="17" s="1"/>
  <c r="J182" i="16"/>
  <c r="J182" i="17" s="1"/>
  <c r="P182" i="17" s="1"/>
  <c r="J135" i="16"/>
  <c r="J135" i="17" s="1"/>
  <c r="P135" i="17" s="1"/>
  <c r="J172" i="16"/>
  <c r="J172" i="17" s="1"/>
  <c r="P172" i="17" s="1"/>
  <c r="J27" i="16"/>
  <c r="J27" i="17" s="1"/>
  <c r="P27" i="17" s="1"/>
  <c r="J113" i="16"/>
  <c r="J113" i="17" s="1"/>
  <c r="P113" i="17" s="1"/>
  <c r="J79" i="16"/>
  <c r="J79" i="17" s="1"/>
  <c r="P79" i="17" s="1"/>
  <c r="J22" i="16"/>
  <c r="J22" i="17" s="1"/>
  <c r="P22" i="17" s="1"/>
  <c r="J85" i="16"/>
  <c r="J85" i="17" s="1"/>
  <c r="P85" i="17" s="1"/>
  <c r="J109" i="16"/>
  <c r="J109" i="17" s="1"/>
  <c r="P109" i="17" s="1"/>
  <c r="J162" i="16"/>
  <c r="J162" i="17" s="1"/>
  <c r="P162" i="17" s="1"/>
  <c r="J84" i="16"/>
  <c r="J84" i="17" s="1"/>
  <c r="P84" i="17" s="1"/>
  <c r="J35" i="16"/>
  <c r="J35" i="17" s="1"/>
  <c r="P35" i="17" s="1"/>
  <c r="J171" i="16"/>
  <c r="J171" i="17" s="1"/>
  <c r="P171" i="17" s="1"/>
  <c r="J72" i="16"/>
  <c r="J72" i="17" s="1"/>
  <c r="P72" i="17" s="1"/>
  <c r="J87" i="16"/>
  <c r="J87" i="17" s="1"/>
  <c r="P87" i="17" s="1"/>
  <c r="J41" i="16"/>
  <c r="J41" i="17" s="1"/>
  <c r="P41" i="17" s="1"/>
  <c r="J180" i="16"/>
  <c r="J180" i="17" s="1"/>
  <c r="P180" i="17" s="1"/>
  <c r="J179" i="16"/>
  <c r="J179" i="17" s="1"/>
  <c r="P179" i="17" s="1"/>
  <c r="J166" i="16"/>
  <c r="J166" i="17" s="1"/>
  <c r="P166" i="17" s="1"/>
  <c r="J15" i="16"/>
  <c r="J15" i="17" s="1"/>
  <c r="P15" i="17" s="1"/>
  <c r="J159" i="16"/>
  <c r="J159" i="17" s="1"/>
  <c r="P159" i="17" s="1"/>
  <c r="J24" i="16"/>
  <c r="J24" i="17" s="1"/>
  <c r="P24" i="17" s="1"/>
  <c r="J77" i="16"/>
  <c r="J77" i="17" s="1"/>
  <c r="P77" i="17" s="1"/>
  <c r="J163" i="16"/>
  <c r="J163" i="17" s="1"/>
  <c r="P163" i="17" s="1"/>
  <c r="J17" i="16"/>
  <c r="J17" i="17" s="1"/>
  <c r="P17" i="17" s="1"/>
  <c r="J142" i="16"/>
  <c r="J142" i="17" s="1"/>
  <c r="P142" i="17" s="1"/>
  <c r="J156" i="16"/>
  <c r="J156" i="17" s="1"/>
  <c r="P156" i="17" s="1"/>
  <c r="J59" i="16"/>
  <c r="J59" i="17" s="1"/>
  <c r="P59" i="17" s="1"/>
  <c r="J65" i="16"/>
  <c r="J65" i="17" s="1"/>
  <c r="P65" i="17" s="1"/>
  <c r="J136" i="16"/>
  <c r="J136" i="17" s="1"/>
  <c r="P136" i="17" s="1"/>
  <c r="C6" i="7"/>
  <c r="J27" i="2" s="1"/>
  <c r="J27" i="8" s="1"/>
  <c r="P27" i="8" s="1"/>
  <c r="J129" i="16"/>
  <c r="J129" i="17" s="1"/>
  <c r="P129" i="17" s="1"/>
  <c r="J29" i="16"/>
  <c r="J29" i="17" s="1"/>
  <c r="P29" i="17" s="1"/>
  <c r="J76" i="16"/>
  <c r="J76" i="17" s="1"/>
  <c r="P76" i="17" s="1"/>
  <c r="J37" i="16"/>
  <c r="J37" i="17" s="1"/>
  <c r="P37" i="17" s="1"/>
  <c r="J149" i="16"/>
  <c r="J149" i="17" s="1"/>
  <c r="P149" i="17" s="1"/>
  <c r="J140" i="16"/>
  <c r="J140" i="17" s="1"/>
  <c r="P140" i="17" s="1"/>
  <c r="J23" i="16"/>
  <c r="J23" i="17" s="1"/>
  <c r="P23" i="17" s="1"/>
  <c r="J148" i="16"/>
  <c r="J148" i="17" s="1"/>
  <c r="P148" i="17" s="1"/>
  <c r="J145" i="16"/>
  <c r="J145" i="17" s="1"/>
  <c r="P145" i="17" s="1"/>
  <c r="J25" i="16"/>
  <c r="J25" i="17" s="1"/>
  <c r="P25" i="17" s="1"/>
  <c r="J9" i="16"/>
  <c r="J9" i="17" s="1"/>
  <c r="P9" i="17" s="1"/>
  <c r="J132" i="16"/>
  <c r="J132" i="17" s="1"/>
  <c r="P132" i="17" s="1"/>
  <c r="J36" i="16"/>
  <c r="J36" i="17" s="1"/>
  <c r="P36" i="17" s="1"/>
  <c r="J57" i="16"/>
  <c r="J57" i="17" s="1"/>
  <c r="P57" i="17" s="1"/>
  <c r="J88" i="16"/>
  <c r="J88" i="17" s="1"/>
  <c r="P88" i="17" s="1"/>
  <c r="J124" i="16"/>
  <c r="J124" i="17" s="1"/>
  <c r="P124" i="17" s="1"/>
  <c r="J164" i="16"/>
  <c r="J164" i="17" s="1"/>
  <c r="P164" i="17" s="1"/>
  <c r="J50" i="16"/>
  <c r="J50" i="17" s="1"/>
  <c r="P50" i="17" s="1"/>
  <c r="J28" i="16"/>
  <c r="J28" i="17" s="1"/>
  <c r="P28" i="17" s="1"/>
  <c r="J100" i="16"/>
  <c r="J100" i="17" s="1"/>
  <c r="P100" i="17" s="1"/>
  <c r="J83" i="16"/>
  <c r="J83" i="17" s="1"/>
  <c r="P83" i="17" s="1"/>
  <c r="J31" i="16"/>
  <c r="J31" i="17" s="1"/>
  <c r="P31" i="17" s="1"/>
  <c r="J12" i="16"/>
  <c r="J12" i="17" s="1"/>
  <c r="P12" i="17" s="1"/>
  <c r="J67" i="16"/>
  <c r="J67" i="17" s="1"/>
  <c r="P67" i="17" s="1"/>
  <c r="J150" i="16"/>
  <c r="J150" i="17" s="1"/>
  <c r="P150" i="17" s="1"/>
  <c r="J54" i="16"/>
  <c r="J54" i="17" s="1"/>
  <c r="P54" i="17" s="1"/>
  <c r="J42" i="16"/>
  <c r="J42" i="17" s="1"/>
  <c r="P42" i="17" s="1"/>
  <c r="J138" i="16"/>
  <c r="J138" i="17" s="1"/>
  <c r="P138" i="17" s="1"/>
  <c r="J119" i="16"/>
  <c r="J119" i="17" s="1"/>
  <c r="P119" i="17" s="1"/>
  <c r="J62" i="16"/>
  <c r="J62" i="17" s="1"/>
  <c r="P62" i="17" s="1"/>
  <c r="J80" i="16"/>
  <c r="J80" i="17" s="1"/>
  <c r="P80" i="17" s="1"/>
  <c r="J123" i="16"/>
  <c r="J123" i="17" s="1"/>
  <c r="P123" i="17" s="1"/>
  <c r="J13" i="16"/>
  <c r="J13" i="17" s="1"/>
  <c r="P13" i="17" s="1"/>
  <c r="J106" i="16"/>
  <c r="J106" i="17" s="1"/>
  <c r="P106" i="17" s="1"/>
  <c r="J46" i="16"/>
  <c r="J46" i="17" s="1"/>
  <c r="P46" i="17" s="1"/>
  <c r="J169" i="16"/>
  <c r="J169" i="17" s="1"/>
  <c r="P169" i="17" s="1"/>
  <c r="J161" i="16"/>
  <c r="J161" i="17" s="1"/>
  <c r="P161" i="17" s="1"/>
  <c r="J55" i="16"/>
  <c r="J55" i="17" s="1"/>
  <c r="P55" i="17" s="1"/>
  <c r="J131" i="16"/>
  <c r="J131" i="17" s="1"/>
  <c r="P131" i="17" s="1"/>
  <c r="J69" i="16"/>
  <c r="J69" i="17" s="1"/>
  <c r="P69" i="17" s="1"/>
  <c r="J99" i="16"/>
  <c r="J99" i="17" s="1"/>
  <c r="P99" i="17" s="1"/>
  <c r="J153" i="16"/>
  <c r="J153" i="17" s="1"/>
  <c r="P153" i="17" s="1"/>
  <c r="J38" i="16"/>
  <c r="J38" i="17" s="1"/>
  <c r="P38" i="17" s="1"/>
  <c r="J178" i="16"/>
  <c r="J178" i="17" s="1"/>
  <c r="P178" i="17" s="1"/>
  <c r="J103" i="16"/>
  <c r="J103" i="17" s="1"/>
  <c r="P103" i="17" s="1"/>
  <c r="J94" i="16"/>
  <c r="J94" i="17" s="1"/>
  <c r="P94" i="17" s="1"/>
  <c r="J151" i="16"/>
  <c r="J151" i="17" s="1"/>
  <c r="P151" i="17" s="1"/>
  <c r="J20" i="16"/>
  <c r="J20" i="17" s="1"/>
  <c r="P20" i="17" s="1"/>
  <c r="J181" i="16"/>
  <c r="J181" i="17" s="1"/>
  <c r="P181" i="17" s="1"/>
  <c r="J143" i="16"/>
  <c r="J143" i="17" s="1"/>
  <c r="P143" i="17" s="1"/>
  <c r="J11" i="16"/>
  <c r="J11" i="17" s="1"/>
  <c r="P11" i="17" s="1"/>
  <c r="J101" i="16"/>
  <c r="J101" i="17" s="1"/>
  <c r="P101" i="17" s="1"/>
  <c r="J91" i="16"/>
  <c r="J91" i="17" s="1"/>
  <c r="P91" i="17" s="1"/>
  <c r="J5" i="16"/>
  <c r="J5" i="17" s="1"/>
  <c r="P5" i="17" s="1"/>
  <c r="J78" i="16"/>
  <c r="J78" i="17" s="1"/>
  <c r="P78" i="17" s="1"/>
  <c r="J107" i="16"/>
  <c r="J107" i="17" s="1"/>
  <c r="P107" i="17" s="1"/>
  <c r="J21" i="16"/>
  <c r="J21" i="17" s="1"/>
  <c r="P21" i="17" s="1"/>
  <c r="J68" i="16"/>
  <c r="J68" i="17" s="1"/>
  <c r="P68" i="17" s="1"/>
  <c r="J96" i="16"/>
  <c r="J96" i="17" s="1"/>
  <c r="P96" i="17" s="1"/>
  <c r="J133" i="16"/>
  <c r="J133" i="17" s="1"/>
  <c r="P133" i="17" s="1"/>
  <c r="J170" i="16"/>
  <c r="J170" i="17" s="1"/>
  <c r="P170" i="17" s="1"/>
  <c r="J127" i="16"/>
  <c r="J127" i="17" s="1"/>
  <c r="P127" i="17" s="1"/>
  <c r="J6" i="16"/>
  <c r="J6" i="17" s="1"/>
  <c r="P6" i="17" s="1"/>
  <c r="J18" i="16"/>
  <c r="J18" i="17" s="1"/>
  <c r="P18" i="17" s="1"/>
  <c r="J141" i="16"/>
  <c r="J141" i="17" s="1"/>
  <c r="P141" i="17" s="1"/>
  <c r="J66" i="16"/>
  <c r="J66" i="17" s="1"/>
  <c r="P66" i="17" s="1"/>
  <c r="J117" i="16"/>
  <c r="J117" i="17" s="1"/>
  <c r="P117" i="17" s="1"/>
  <c r="J43" i="16"/>
  <c r="J43" i="17" s="1"/>
  <c r="P43" i="17" s="1"/>
  <c r="J177" i="16"/>
  <c r="J177" i="17" s="1"/>
  <c r="P177" i="17" s="1"/>
  <c r="J125" i="16"/>
  <c r="J125" i="17" s="1"/>
  <c r="P125" i="17" s="1"/>
  <c r="J139" i="16"/>
  <c r="J139" i="17" s="1"/>
  <c r="P139" i="17" s="1"/>
  <c r="J90" i="16"/>
  <c r="J90" i="17" s="1"/>
  <c r="P90" i="17" s="1"/>
  <c r="J82" i="16"/>
  <c r="J82" i="17" s="1"/>
  <c r="P82" i="17" s="1"/>
  <c r="J111" i="16"/>
  <c r="J111" i="17" s="1"/>
  <c r="P111" i="17" s="1"/>
  <c r="J102" i="16"/>
  <c r="J102" i="17" s="1"/>
  <c r="P102" i="17" s="1"/>
  <c r="J34" i="16"/>
  <c r="J34" i="17" s="1"/>
  <c r="P34" i="17" s="1"/>
  <c r="J52" i="16"/>
  <c r="J52" i="17" s="1"/>
  <c r="P52" i="17" s="1"/>
  <c r="J108" i="16"/>
  <c r="J108" i="17" s="1"/>
  <c r="P108" i="17" s="1"/>
  <c r="J98" i="16"/>
  <c r="J98" i="17" s="1"/>
  <c r="P98" i="17" s="1"/>
  <c r="J49" i="16"/>
  <c r="J49" i="17" s="1"/>
  <c r="P49" i="17" s="1"/>
  <c r="J158" i="16"/>
  <c r="J158" i="17" s="1"/>
  <c r="P158" i="17" s="1"/>
  <c r="J71" i="16"/>
  <c r="J71" i="17" s="1"/>
  <c r="P71" i="17" s="1"/>
  <c r="J114" i="16"/>
  <c r="J114" i="17" s="1"/>
  <c r="P114" i="17" s="1"/>
  <c r="G6" i="23"/>
  <c r="C6" i="23" s="1"/>
  <c r="J20" i="24" s="1"/>
  <c r="J20" i="25" s="1"/>
  <c r="P20" i="25" s="1"/>
  <c r="J26" i="16"/>
  <c r="J26" i="17" s="1"/>
  <c r="P26" i="17" s="1"/>
  <c r="J110" i="16"/>
  <c r="J110" i="17" s="1"/>
  <c r="P110" i="17" s="1"/>
  <c r="J63" i="16"/>
  <c r="J63" i="17" s="1"/>
  <c r="P63" i="17" s="1"/>
  <c r="J126" i="16"/>
  <c r="J126" i="17" s="1"/>
  <c r="P126" i="17" s="1"/>
  <c r="J146" i="16"/>
  <c r="J146" i="17" s="1"/>
  <c r="P146" i="17" s="1"/>
  <c r="J122" i="16"/>
  <c r="J122" i="17" s="1"/>
  <c r="P122" i="17" s="1"/>
  <c r="J89" i="16"/>
  <c r="J89" i="17" s="1"/>
  <c r="P89" i="17" s="1"/>
  <c r="J58" i="16"/>
  <c r="J58" i="17" s="1"/>
  <c r="P58" i="17" s="1"/>
  <c r="J53" i="16"/>
  <c r="J53" i="17" s="1"/>
  <c r="P53" i="17" s="1"/>
  <c r="J95" i="16"/>
  <c r="J95" i="17" s="1"/>
  <c r="P95" i="17" s="1"/>
  <c r="J93" i="16"/>
  <c r="J93" i="17" s="1"/>
  <c r="P93" i="17" s="1"/>
  <c r="J154" i="16"/>
  <c r="J154" i="17" s="1"/>
  <c r="P154" i="17" s="1"/>
  <c r="J74" i="16"/>
  <c r="J74" i="17" s="1"/>
  <c r="P74" i="17" s="1"/>
  <c r="J33" i="16"/>
  <c r="J33" i="17" s="1"/>
  <c r="P33" i="17" s="1"/>
  <c r="J116" i="16"/>
  <c r="J116" i="17" s="1"/>
  <c r="P116" i="17" s="1"/>
  <c r="J160" i="16"/>
  <c r="J160" i="17" s="1"/>
  <c r="P160" i="17" s="1"/>
  <c r="J134" i="16"/>
  <c r="J134" i="17" s="1"/>
  <c r="P134" i="17" s="1"/>
  <c r="J19" i="16"/>
  <c r="J19" i="17" s="1"/>
  <c r="P19" i="17" s="1"/>
  <c r="J167" i="16"/>
  <c r="J167" i="17" s="1"/>
  <c r="P167" i="17" s="1"/>
  <c r="J183" i="16"/>
  <c r="J183" i="17" s="1"/>
  <c r="P183" i="17" s="1"/>
  <c r="J175" i="16"/>
  <c r="J175" i="17" s="1"/>
  <c r="P175" i="17" s="1"/>
  <c r="J48" i="16"/>
  <c r="J48" i="17" s="1"/>
  <c r="P48" i="17" s="1"/>
  <c r="J155" i="16"/>
  <c r="J155" i="17" s="1"/>
  <c r="P155" i="17" s="1"/>
  <c r="J4" i="16"/>
  <c r="I4" i="16" s="1"/>
  <c r="H4" i="17" s="1"/>
  <c r="J56" i="16"/>
  <c r="J56" i="17" s="1"/>
  <c r="P56" i="17" s="1"/>
  <c r="J75" i="16"/>
  <c r="J75" i="17" s="1"/>
  <c r="P75" i="17" s="1"/>
  <c r="J30" i="16"/>
  <c r="J30" i="17" s="1"/>
  <c r="P30" i="17" s="1"/>
  <c r="J157" i="16"/>
  <c r="J157" i="17" s="1"/>
  <c r="P157" i="17" s="1"/>
  <c r="J115" i="16"/>
  <c r="J115" i="17" s="1"/>
  <c r="P115" i="17" s="1"/>
  <c r="J16" i="16"/>
  <c r="J16" i="17" s="1"/>
  <c r="P16" i="17" s="1"/>
  <c r="J14" i="16"/>
  <c r="J14" i="17" s="1"/>
  <c r="P14" i="17" s="1"/>
  <c r="J8" i="16"/>
  <c r="J8" i="17" s="1"/>
  <c r="P8" i="17" s="1"/>
  <c r="J120" i="16"/>
  <c r="J120" i="17" s="1"/>
  <c r="P120" i="17" s="1"/>
  <c r="J130" i="16"/>
  <c r="J130" i="17" s="1"/>
  <c r="P130" i="17" s="1"/>
  <c r="J92" i="16"/>
  <c r="J92" i="17" s="1"/>
  <c r="P92" i="17" s="1"/>
  <c r="J121" i="16"/>
  <c r="J121" i="17" s="1"/>
  <c r="P121" i="17" s="1"/>
  <c r="J7" i="16"/>
  <c r="J7" i="17" s="1"/>
  <c r="P7" i="17" s="1"/>
  <c r="J105" i="16"/>
  <c r="J105" i="17" s="1"/>
  <c r="P105" i="17" s="1"/>
  <c r="J10" i="16"/>
  <c r="J10" i="17" s="1"/>
  <c r="P10" i="17" s="1"/>
  <c r="J185" i="16"/>
  <c r="J185" i="17" s="1"/>
  <c r="P185" i="17" s="1"/>
  <c r="J45" i="16"/>
  <c r="J45" i="17" s="1"/>
  <c r="P45" i="17" s="1"/>
  <c r="J44" i="16"/>
  <c r="J44" i="17" s="1"/>
  <c r="P44" i="17" s="1"/>
  <c r="J40" i="16"/>
  <c r="J40" i="17" s="1"/>
  <c r="P40" i="17" s="1"/>
  <c r="J81" i="16"/>
  <c r="J81" i="17" s="1"/>
  <c r="P81" i="17" s="1"/>
  <c r="J70" i="16"/>
  <c r="J70" i="17" s="1"/>
  <c r="P70" i="17" s="1"/>
  <c r="J51" i="16"/>
  <c r="J51" i="17" s="1"/>
  <c r="P51" i="17" s="1"/>
  <c r="J176" i="16"/>
  <c r="J176" i="17" s="1"/>
  <c r="P176" i="17" s="1"/>
  <c r="J104" i="16"/>
  <c r="J104" i="17" s="1"/>
  <c r="P104" i="17" s="1"/>
  <c r="J112" i="16"/>
  <c r="J112" i="17" s="1"/>
  <c r="P112" i="17" s="1"/>
  <c r="J73" i="16"/>
  <c r="J73" i="17" s="1"/>
  <c r="P73" i="17" s="1"/>
  <c r="J97" i="16"/>
  <c r="J97" i="17" s="1"/>
  <c r="P97" i="17" s="1"/>
  <c r="J47" i="16"/>
  <c r="J47" i="17" s="1"/>
  <c r="P47" i="17" s="1"/>
  <c r="J144" i="16"/>
  <c r="J144" i="17" s="1"/>
  <c r="P144" i="17" s="1"/>
  <c r="J174" i="16"/>
  <c r="J174" i="17" s="1"/>
  <c r="P174" i="17" s="1"/>
  <c r="J60" i="16"/>
  <c r="J60" i="17" s="1"/>
  <c r="P60" i="17" s="1"/>
  <c r="J86" i="16"/>
  <c r="J86" i="17" s="1"/>
  <c r="P86" i="17" s="1"/>
  <c r="J39" i="16"/>
  <c r="J39" i="17" s="1"/>
  <c r="P39" i="17" s="1"/>
  <c r="J61" i="16"/>
  <c r="J61" i="17" s="1"/>
  <c r="P61" i="17" s="1"/>
  <c r="J173" i="16"/>
  <c r="J173" i="17" s="1"/>
  <c r="P173" i="17" s="1"/>
  <c r="J147" i="16"/>
  <c r="J147" i="17" s="1"/>
  <c r="P147" i="17" s="1"/>
  <c r="J64" i="16"/>
  <c r="J64" i="17" s="1"/>
  <c r="P64" i="17" s="1"/>
  <c r="J32" i="16"/>
  <c r="J32" i="17" s="1"/>
  <c r="P32" i="17" s="1"/>
  <c r="J184" i="16"/>
  <c r="J184" i="17" s="1"/>
  <c r="P184" i="17" s="1"/>
  <c r="J120" i="24"/>
  <c r="J120" i="25" s="1"/>
  <c r="P120" i="25" s="1"/>
  <c r="J185" i="2"/>
  <c r="J184" i="2"/>
  <c r="J183" i="2"/>
  <c r="J183" i="8" s="1"/>
  <c r="P183" i="8" s="1"/>
  <c r="J149" i="2"/>
  <c r="J149" i="8" s="1"/>
  <c r="P149" i="8" s="1"/>
  <c r="J155" i="2"/>
  <c r="J155" i="8" s="1"/>
  <c r="P155" i="8" s="1"/>
  <c r="J15" i="2"/>
  <c r="J15" i="8" s="1"/>
  <c r="P15" i="8" s="1"/>
  <c r="J43" i="2"/>
  <c r="J43" i="8" s="1"/>
  <c r="P43" i="8" s="1"/>
  <c r="J5" i="2"/>
  <c r="J5" i="8" s="1"/>
  <c r="P5" i="8" s="1"/>
  <c r="J31" i="2"/>
  <c r="J31" i="8" s="1"/>
  <c r="P31" i="8" s="1"/>
  <c r="J168" i="2"/>
  <c r="J168" i="8" s="1"/>
  <c r="P168" i="8" s="1"/>
  <c r="J177" i="2"/>
  <c r="J177" i="8" s="1"/>
  <c r="P177" i="8" s="1"/>
  <c r="J87" i="2"/>
  <c r="J87" i="8" s="1"/>
  <c r="P87" i="8" s="1"/>
  <c r="J67" i="2"/>
  <c r="J67" i="8" s="1"/>
  <c r="P67" i="8" s="1"/>
  <c r="J42" i="2"/>
  <c r="J42" i="8" s="1"/>
  <c r="P42" i="8" s="1"/>
  <c r="J14" i="2"/>
  <c r="J14" i="8" s="1"/>
  <c r="P14" i="8" s="1"/>
  <c r="J83" i="2"/>
  <c r="J83" i="8" s="1"/>
  <c r="P83" i="8" s="1"/>
  <c r="J55" i="2"/>
  <c r="J55" i="8" s="1"/>
  <c r="P55" i="8" s="1"/>
  <c r="J171" i="2"/>
  <c r="J171" i="8" s="1"/>
  <c r="P171" i="8" s="1"/>
  <c r="J169" i="2"/>
  <c r="J169" i="8" s="1"/>
  <c r="P169" i="8" s="1"/>
  <c r="J64" i="2"/>
  <c r="J64" i="8" s="1"/>
  <c r="P64" i="8" s="1"/>
  <c r="J99" i="2"/>
  <c r="J99" i="8" s="1"/>
  <c r="P99" i="8" s="1"/>
  <c r="J135" i="2"/>
  <c r="J135" i="8" s="1"/>
  <c r="P135" i="8" s="1"/>
  <c r="J147" i="2"/>
  <c r="J147" i="8" s="1"/>
  <c r="P147" i="8" s="1"/>
  <c r="J86" i="2"/>
  <c r="J86" i="8" s="1"/>
  <c r="P86" i="8" s="1"/>
  <c r="J6" i="2"/>
  <c r="J6" i="8" s="1"/>
  <c r="P6" i="8" s="1"/>
  <c r="J4" i="2"/>
  <c r="I4" i="2" s="1"/>
  <c r="J53" i="2"/>
  <c r="J53" i="8" s="1"/>
  <c r="P53" i="8" s="1"/>
  <c r="J102" i="2"/>
  <c r="J102" i="8" s="1"/>
  <c r="P102" i="8" s="1"/>
  <c r="J173" i="2"/>
  <c r="J173" i="8" s="1"/>
  <c r="P173" i="8" s="1"/>
  <c r="J180" i="2"/>
  <c r="J180" i="8" s="1"/>
  <c r="P180" i="8" s="1"/>
  <c r="J69" i="2"/>
  <c r="J69" i="8" s="1"/>
  <c r="P69" i="8" s="1"/>
  <c r="J120" i="2"/>
  <c r="J120" i="8" s="1"/>
  <c r="P120" i="8" s="1"/>
  <c r="J41" i="2"/>
  <c r="J41" i="8" s="1"/>
  <c r="P41" i="8" s="1"/>
  <c r="J33" i="2"/>
  <c r="J33" i="8" s="1"/>
  <c r="P33" i="8" s="1"/>
  <c r="J152" i="2"/>
  <c r="J152" i="8" s="1"/>
  <c r="P152" i="8" s="1"/>
  <c r="J148" i="2"/>
  <c r="J148" i="8" s="1"/>
  <c r="P148" i="8" s="1"/>
  <c r="J20" i="2"/>
  <c r="J20" i="8" s="1"/>
  <c r="P20" i="8" s="1"/>
  <c r="J143" i="2"/>
  <c r="J143" i="8" s="1"/>
  <c r="P143" i="8" s="1"/>
  <c r="J90" i="2"/>
  <c r="J90" i="8" s="1"/>
  <c r="P90" i="8" s="1"/>
  <c r="J80" i="2"/>
  <c r="J80" i="8" s="1"/>
  <c r="P80" i="8" s="1"/>
  <c r="J91" i="2"/>
  <c r="J91" i="8" s="1"/>
  <c r="P91" i="8" s="1"/>
  <c r="J113" i="2"/>
  <c r="J113" i="8" s="1"/>
  <c r="P113" i="8" s="1"/>
  <c r="J146" i="2"/>
  <c r="J146" i="8" s="1"/>
  <c r="P146" i="8" s="1"/>
  <c r="J153" i="2"/>
  <c r="J153" i="8" s="1"/>
  <c r="P153" i="8" s="1"/>
  <c r="J28" i="2"/>
  <c r="J28" i="8" s="1"/>
  <c r="P28" i="8" s="1"/>
  <c r="J182" i="2"/>
  <c r="J182" i="8" s="1"/>
  <c r="P182" i="8" s="1"/>
  <c r="J12" i="2"/>
  <c r="J12" i="8" s="1"/>
  <c r="P12" i="8" s="1"/>
  <c r="J10" i="2"/>
  <c r="J10" i="8" s="1"/>
  <c r="P10" i="8" s="1"/>
  <c r="J25" i="2"/>
  <c r="J25" i="8" s="1"/>
  <c r="P25" i="8" s="1"/>
  <c r="J9" i="2"/>
  <c r="J9" i="8" s="1"/>
  <c r="P9" i="8" s="1"/>
  <c r="J16" i="2"/>
  <c r="J16" i="8" s="1"/>
  <c r="P16" i="8" s="1"/>
  <c r="J35" i="2"/>
  <c r="J35" i="8" s="1"/>
  <c r="P35" i="8" s="1"/>
  <c r="J92" i="2"/>
  <c r="J92" i="8" s="1"/>
  <c r="P92" i="8" s="1"/>
  <c r="J175" i="2"/>
  <c r="J175" i="8" s="1"/>
  <c r="P175" i="8" s="1"/>
  <c r="J130" i="2"/>
  <c r="J130" i="8" s="1"/>
  <c r="P130" i="8" s="1"/>
  <c r="J11" i="2"/>
  <c r="J11" i="8" s="1"/>
  <c r="P11" i="8" s="1"/>
  <c r="J176" i="2"/>
  <c r="J176" i="8" s="1"/>
  <c r="P176" i="8" s="1"/>
  <c r="J52" i="2"/>
  <c r="J52" i="8" s="1"/>
  <c r="P52" i="8" s="1"/>
  <c r="J97" i="2"/>
  <c r="J97" i="8" s="1"/>
  <c r="P97" i="8" s="1"/>
  <c r="J178" i="2"/>
  <c r="J178" i="8" s="1"/>
  <c r="P178" i="8" s="1"/>
  <c r="J163" i="2"/>
  <c r="J163" i="8" s="1"/>
  <c r="P163" i="8" s="1"/>
  <c r="J79" i="2"/>
  <c r="J79" i="8" s="1"/>
  <c r="P79" i="8" s="1"/>
  <c r="J139" i="2"/>
  <c r="J139" i="8" s="1"/>
  <c r="P139" i="8" s="1"/>
  <c r="J181" i="2"/>
  <c r="J181" i="8" s="1"/>
  <c r="P181" i="8" s="1"/>
  <c r="J108" i="2"/>
  <c r="J108" i="8" s="1"/>
  <c r="P108" i="8" s="1"/>
  <c r="J81" i="2"/>
  <c r="J81" i="8" s="1"/>
  <c r="P81" i="8" s="1"/>
  <c r="J172" i="2"/>
  <c r="J172" i="8" s="1"/>
  <c r="P172" i="8" s="1"/>
  <c r="J47" i="2"/>
  <c r="J47" i="8" s="1"/>
  <c r="P47" i="8" s="1"/>
  <c r="J137" i="2"/>
  <c r="J137" i="8" s="1"/>
  <c r="P137" i="8" s="1"/>
  <c r="J44" i="2"/>
  <c r="J44" i="8" s="1"/>
  <c r="P44" i="8" s="1"/>
  <c r="J114" i="2"/>
  <c r="J114" i="8" s="1"/>
  <c r="P114" i="8" s="1"/>
  <c r="J136" i="2"/>
  <c r="J136" i="8" s="1"/>
  <c r="P136" i="8" s="1"/>
  <c r="J68" i="2"/>
  <c r="J68" i="8" s="1"/>
  <c r="P68" i="8" s="1"/>
  <c r="J84" i="2"/>
  <c r="J84" i="8" s="1"/>
  <c r="P84" i="8" s="1"/>
  <c r="J96" i="2"/>
  <c r="J96" i="8" s="1"/>
  <c r="P96" i="8" s="1"/>
  <c r="J166" i="2"/>
  <c r="J166" i="8" s="1"/>
  <c r="P166" i="8" s="1"/>
  <c r="J49" i="2"/>
  <c r="J49" i="8" s="1"/>
  <c r="P49" i="8" s="1"/>
  <c r="J129" i="2"/>
  <c r="J129" i="8" s="1"/>
  <c r="P129" i="8" s="1"/>
  <c r="J127" i="2"/>
  <c r="J127" i="8" s="1"/>
  <c r="P127" i="8" s="1"/>
  <c r="J63" i="2"/>
  <c r="J63" i="8" s="1"/>
  <c r="P63" i="8" s="1"/>
  <c r="J66" i="2"/>
  <c r="J66" i="8" s="1"/>
  <c r="P66" i="8" s="1"/>
  <c r="J150" i="2"/>
  <c r="J150" i="8" s="1"/>
  <c r="P150" i="8" s="1"/>
  <c r="J8" i="2"/>
  <c r="J8" i="8" s="1"/>
  <c r="P8" i="8" s="1"/>
  <c r="J105" i="2"/>
  <c r="J105" i="8" s="1"/>
  <c r="P105" i="8" s="1"/>
  <c r="J151" i="2"/>
  <c r="J151" i="8" s="1"/>
  <c r="P151" i="8" s="1"/>
  <c r="J22" i="2"/>
  <c r="J22" i="8" s="1"/>
  <c r="P22" i="8" s="1"/>
  <c r="J154" i="2"/>
  <c r="J154" i="8" s="1"/>
  <c r="P154" i="8" s="1"/>
  <c r="J73" i="2"/>
  <c r="J73" i="8" s="1"/>
  <c r="P73" i="8" s="1"/>
  <c r="J75" i="2"/>
  <c r="J75" i="8" s="1"/>
  <c r="P75" i="8" s="1"/>
  <c r="J88" i="2"/>
  <c r="J88" i="8" s="1"/>
  <c r="P88" i="8" s="1"/>
  <c r="J144" i="2"/>
  <c r="J144" i="8" s="1"/>
  <c r="P144" i="8" s="1"/>
  <c r="J132" i="2"/>
  <c r="J132" i="8" s="1"/>
  <c r="P132" i="8" s="1"/>
  <c r="J37" i="2"/>
  <c r="J37" i="8" s="1"/>
  <c r="P37" i="8" s="1"/>
  <c r="J24" i="2"/>
  <c r="J24" i="8" s="1"/>
  <c r="P24" i="8" s="1"/>
  <c r="J21" i="2"/>
  <c r="J21" i="8" s="1"/>
  <c r="P21" i="8" s="1"/>
  <c r="J13" i="2"/>
  <c r="J13" i="8" s="1"/>
  <c r="P13" i="8" s="1"/>
  <c r="J19" i="2"/>
  <c r="J19" i="8" s="1"/>
  <c r="P19" i="8" s="1"/>
  <c r="J103" i="2"/>
  <c r="J103" i="8" s="1"/>
  <c r="P103" i="8" s="1"/>
  <c r="J107" i="2"/>
  <c r="J107" i="8" s="1"/>
  <c r="P107" i="8" s="1"/>
  <c r="J124" i="2"/>
  <c r="J124" i="8" s="1"/>
  <c r="P124" i="8" s="1"/>
  <c r="J85" i="2"/>
  <c r="J85" i="8" s="1"/>
  <c r="P85" i="8" s="1"/>
  <c r="J133" i="2"/>
  <c r="J133" i="8" s="1"/>
  <c r="P133" i="8" s="1"/>
  <c r="J156" i="2"/>
  <c r="J156" i="8" s="1"/>
  <c r="P156" i="8" s="1"/>
  <c r="J161" i="2"/>
  <c r="J161" i="8" s="1"/>
  <c r="P161" i="8" s="1"/>
  <c r="J140" i="2"/>
  <c r="J140" i="8" s="1"/>
  <c r="P140" i="8" s="1"/>
  <c r="J65" i="2"/>
  <c r="J65" i="8" s="1"/>
  <c r="P65" i="8" s="1"/>
  <c r="J104" i="2"/>
  <c r="J104" i="8" s="1"/>
  <c r="P104" i="8" s="1"/>
  <c r="J51" i="2"/>
  <c r="J51" i="8" s="1"/>
  <c r="P51" i="8" s="1"/>
  <c r="J95" i="2"/>
  <c r="J95" i="8" s="1"/>
  <c r="P95" i="8" s="1"/>
  <c r="J58" i="2"/>
  <c r="J58" i="8" s="1"/>
  <c r="P58" i="8" s="1"/>
  <c r="J125" i="2"/>
  <c r="J125" i="8" s="1"/>
  <c r="P125" i="8" s="1"/>
  <c r="J160" i="2"/>
  <c r="J160" i="8" s="1"/>
  <c r="P160" i="8" s="1"/>
  <c r="J61" i="2"/>
  <c r="J61" i="8" s="1"/>
  <c r="P61" i="8" s="1"/>
  <c r="J116" i="2"/>
  <c r="J116" i="8" s="1"/>
  <c r="P116" i="8" s="1"/>
  <c r="J93" i="2"/>
  <c r="J93" i="8" s="1"/>
  <c r="P93" i="8" s="1"/>
  <c r="J128" i="2"/>
  <c r="J128" i="8" s="1"/>
  <c r="P128" i="8" s="1"/>
  <c r="J48" i="2"/>
  <c r="J48" i="8" s="1"/>
  <c r="P48" i="8" s="1"/>
  <c r="J165" i="2"/>
  <c r="J165" i="8" s="1"/>
  <c r="P165" i="8" s="1"/>
  <c r="J94" i="2"/>
  <c r="J94" i="8" s="1"/>
  <c r="P94" i="8" s="1"/>
  <c r="J70" i="2"/>
  <c r="J70" i="8" s="1"/>
  <c r="P70" i="8" s="1"/>
  <c r="J179" i="2"/>
  <c r="J179" i="8" s="1"/>
  <c r="P179" i="8" s="1"/>
  <c r="J162" i="2"/>
  <c r="J162" i="8" s="1"/>
  <c r="P162" i="8" s="1"/>
  <c r="J18" i="2"/>
  <c r="J18" i="8" s="1"/>
  <c r="P18" i="8" s="1"/>
  <c r="J112" i="2"/>
  <c r="J112" i="8" s="1"/>
  <c r="P112" i="8" s="1"/>
  <c r="J76" i="2"/>
  <c r="J76" i="8" s="1"/>
  <c r="P76" i="8" s="1"/>
  <c r="J39" i="2"/>
  <c r="J39" i="8" s="1"/>
  <c r="P39" i="8" s="1"/>
  <c r="J121" i="2"/>
  <c r="J121" i="8" s="1"/>
  <c r="P121" i="8" s="1"/>
  <c r="J29" i="2"/>
  <c r="J29" i="8" s="1"/>
  <c r="P29" i="8" s="1"/>
  <c r="J118" i="2"/>
  <c r="J118" i="8" s="1"/>
  <c r="P118" i="8" s="1"/>
  <c r="J123" i="2"/>
  <c r="J123" i="8" s="1"/>
  <c r="P123" i="8" s="1"/>
  <c r="J26" i="2"/>
  <c r="J26" i="8" s="1"/>
  <c r="P26" i="8" s="1"/>
  <c r="J138" i="2"/>
  <c r="J138" i="8" s="1"/>
  <c r="P138" i="8" s="1"/>
  <c r="J115" i="2"/>
  <c r="J115" i="8" s="1"/>
  <c r="P115" i="8" s="1"/>
  <c r="J36" i="2"/>
  <c r="J36" i="8" s="1"/>
  <c r="P36" i="8" s="1"/>
  <c r="J131" i="2"/>
  <c r="J131" i="8" s="1"/>
  <c r="P131" i="8" s="1"/>
  <c r="J71" i="2"/>
  <c r="J71" i="8" s="1"/>
  <c r="P71" i="8" s="1"/>
  <c r="J40" i="2"/>
  <c r="J40" i="8" s="1"/>
  <c r="P40" i="8" s="1"/>
  <c r="J30" i="2"/>
  <c r="J30" i="8" s="1"/>
  <c r="P30" i="8" s="1"/>
  <c r="J17" i="2"/>
  <c r="J17" i="8" s="1"/>
  <c r="P17" i="8" s="1"/>
  <c r="J34" i="2"/>
  <c r="J34" i="8" s="1"/>
  <c r="P34" i="8" s="1"/>
  <c r="J32" i="2"/>
  <c r="J32" i="8" s="1"/>
  <c r="P32" i="8" s="1"/>
  <c r="J23" i="2"/>
  <c r="J23" i="8" s="1"/>
  <c r="P23" i="8" s="1"/>
  <c r="J167" i="2"/>
  <c r="J167" i="8" s="1"/>
  <c r="P167" i="8" s="1"/>
  <c r="J101" i="2"/>
  <c r="J101" i="8" s="1"/>
  <c r="P101" i="8" s="1"/>
  <c r="J145" i="2"/>
  <c r="J145" i="8" s="1"/>
  <c r="P145" i="8" s="1"/>
  <c r="J142" i="2"/>
  <c r="J142" i="8" s="1"/>
  <c r="P142" i="8" s="1"/>
  <c r="J59" i="2"/>
  <c r="J59" i="8" s="1"/>
  <c r="P59" i="8" s="1"/>
  <c r="J174" i="2"/>
  <c r="J174" i="8" s="1"/>
  <c r="P174" i="8" s="1"/>
  <c r="J57" i="2"/>
  <c r="J57" i="8" s="1"/>
  <c r="P57" i="8" s="1"/>
  <c r="J158" i="2"/>
  <c r="J158" i="8" s="1"/>
  <c r="P158" i="8" s="1"/>
  <c r="J141" i="2"/>
  <c r="J141" i="8" s="1"/>
  <c r="P141" i="8" s="1"/>
  <c r="J134" i="2"/>
  <c r="J134" i="8" s="1"/>
  <c r="P134" i="8" s="1"/>
  <c r="J72" i="2"/>
  <c r="J72" i="8" s="1"/>
  <c r="P72" i="8" s="1"/>
  <c r="J82" i="2"/>
  <c r="J82" i="8" s="1"/>
  <c r="P82" i="8" s="1"/>
  <c r="J106" i="2"/>
  <c r="J106" i="8" s="1"/>
  <c r="P106" i="8" s="1"/>
  <c r="J126" i="2"/>
  <c r="J126" i="8" s="1"/>
  <c r="P126" i="8" s="1"/>
  <c r="J119" i="2"/>
  <c r="J119" i="8" s="1"/>
  <c r="P119" i="8" s="1"/>
  <c r="J111" i="2"/>
  <c r="J111" i="8" s="1"/>
  <c r="P111" i="8" s="1"/>
  <c r="J46" i="2"/>
  <c r="J46" i="8" s="1"/>
  <c r="P46" i="8" s="1"/>
  <c r="J77" i="2"/>
  <c r="J77" i="8" s="1"/>
  <c r="P77" i="8" s="1"/>
  <c r="J159" i="2"/>
  <c r="J159" i="8" s="1"/>
  <c r="P159" i="8" s="1"/>
  <c r="J74" i="2"/>
  <c r="J74" i="8" s="1"/>
  <c r="P74" i="8" s="1"/>
  <c r="J110" i="2"/>
  <c r="J110" i="8" s="1"/>
  <c r="P110" i="8" s="1"/>
  <c r="J54" i="2"/>
  <c r="J54" i="8" s="1"/>
  <c r="P54" i="8" s="1"/>
  <c r="J60" i="2"/>
  <c r="J60" i="8" s="1"/>
  <c r="P60" i="8" s="1"/>
  <c r="J122" i="2"/>
  <c r="J122" i="8" s="1"/>
  <c r="P122" i="8" s="1"/>
  <c r="J109" i="2"/>
  <c r="J109" i="8" s="1"/>
  <c r="P109" i="8" s="1"/>
  <c r="J50" i="2"/>
  <c r="J50" i="8" s="1"/>
  <c r="P50" i="8" s="1"/>
  <c r="J117" i="2"/>
  <c r="J117" i="8" s="1"/>
  <c r="P117" i="8" s="1"/>
  <c r="J164" i="2"/>
  <c r="J164" i="8" s="1"/>
  <c r="P164" i="8" s="1"/>
  <c r="J56" i="2"/>
  <c r="J56" i="8" s="1"/>
  <c r="P56" i="8" s="1"/>
  <c r="J62" i="2"/>
  <c r="J62" i="8" s="1"/>
  <c r="P62" i="8" s="1"/>
  <c r="J7" i="2"/>
  <c r="J7" i="8" s="1"/>
  <c r="P7" i="8" s="1"/>
  <c r="J170" i="2"/>
  <c r="J170" i="8" s="1"/>
  <c r="P170" i="8" s="1"/>
  <c r="J45" i="2"/>
  <c r="J45" i="8" s="1"/>
  <c r="P45" i="8" s="1"/>
  <c r="J38" i="2"/>
  <c r="J38" i="8" s="1"/>
  <c r="P38" i="8" s="1"/>
  <c r="J78" i="2"/>
  <c r="J78" i="8" s="1"/>
  <c r="P78" i="8" s="1"/>
  <c r="J98" i="2"/>
  <c r="J98" i="8" s="1"/>
  <c r="P98" i="8" s="1"/>
  <c r="J89" i="2"/>
  <c r="J89" i="8" s="1"/>
  <c r="P89" i="8" s="1"/>
  <c r="J157" i="2"/>
  <c r="J157" i="8" s="1"/>
  <c r="P157" i="8" s="1"/>
  <c r="J100" i="2"/>
  <c r="J100" i="8" s="1"/>
  <c r="P100" i="8" s="1"/>
  <c r="J185" i="8"/>
  <c r="P185" i="8" s="1"/>
  <c r="J184" i="8"/>
  <c r="P184" i="8" s="1"/>
  <c r="J57" i="24" l="1"/>
  <c r="J57" i="25" s="1"/>
  <c r="P57" i="25" s="1"/>
  <c r="J78" i="24"/>
  <c r="J78" i="25" s="1"/>
  <c r="P78" i="25" s="1"/>
  <c r="J178" i="24"/>
  <c r="J178" i="25" s="1"/>
  <c r="P178" i="25" s="1"/>
  <c r="J170" i="24"/>
  <c r="J170" i="25" s="1"/>
  <c r="P170" i="25" s="1"/>
  <c r="J36" i="24"/>
  <c r="J36" i="25" s="1"/>
  <c r="P36" i="25" s="1"/>
  <c r="J42" i="24"/>
  <c r="J42" i="25" s="1"/>
  <c r="P42" i="25" s="1"/>
  <c r="J168" i="24"/>
  <c r="J168" i="25" s="1"/>
  <c r="P168" i="25" s="1"/>
  <c r="J87" i="24"/>
  <c r="J87" i="25" s="1"/>
  <c r="P87" i="25" s="1"/>
  <c r="J147" i="24"/>
  <c r="J147" i="25" s="1"/>
  <c r="P147" i="25" s="1"/>
  <c r="J12" i="24"/>
  <c r="J12" i="25" s="1"/>
  <c r="P12" i="25" s="1"/>
  <c r="J61" i="24"/>
  <c r="J61" i="25" s="1"/>
  <c r="P61" i="25" s="1"/>
  <c r="J105" i="24"/>
  <c r="J105" i="25" s="1"/>
  <c r="P105" i="25" s="1"/>
  <c r="J34" i="24"/>
  <c r="J34" i="25" s="1"/>
  <c r="P34" i="25" s="1"/>
  <c r="J160" i="24"/>
  <c r="J160" i="25" s="1"/>
  <c r="P160" i="25" s="1"/>
  <c r="J140" i="24"/>
  <c r="J140" i="25" s="1"/>
  <c r="P140" i="25" s="1"/>
  <c r="J125" i="24"/>
  <c r="J125" i="25" s="1"/>
  <c r="P125" i="25" s="1"/>
  <c r="J60" i="24"/>
  <c r="J60" i="25" s="1"/>
  <c r="P60" i="25" s="1"/>
  <c r="I5" i="16"/>
  <c r="J173" i="24"/>
  <c r="J173" i="25" s="1"/>
  <c r="P173" i="25" s="1"/>
  <c r="J80" i="24"/>
  <c r="J80" i="25" s="1"/>
  <c r="P80" i="25" s="1"/>
  <c r="J179" i="24"/>
  <c r="J179" i="25" s="1"/>
  <c r="P179" i="25" s="1"/>
  <c r="J159" i="24"/>
  <c r="J159" i="25" s="1"/>
  <c r="P159" i="25" s="1"/>
  <c r="J25" i="24"/>
  <c r="J25" i="25" s="1"/>
  <c r="P25" i="25" s="1"/>
  <c r="J101" i="24"/>
  <c r="J101" i="25" s="1"/>
  <c r="P101" i="25" s="1"/>
  <c r="J18" i="24"/>
  <c r="J18" i="25" s="1"/>
  <c r="P18" i="25" s="1"/>
  <c r="J62" i="24"/>
  <c r="J62" i="25" s="1"/>
  <c r="P62" i="25" s="1"/>
  <c r="J98" i="24"/>
  <c r="J98" i="25" s="1"/>
  <c r="P98" i="25" s="1"/>
  <c r="J136" i="24"/>
  <c r="J136" i="25" s="1"/>
  <c r="P136" i="25" s="1"/>
  <c r="J59" i="24"/>
  <c r="J59" i="25" s="1"/>
  <c r="P59" i="25" s="1"/>
  <c r="J156" i="24"/>
  <c r="J156" i="25" s="1"/>
  <c r="P156" i="25" s="1"/>
  <c r="J26" i="24"/>
  <c r="J26" i="25" s="1"/>
  <c r="P26" i="25" s="1"/>
  <c r="J48" i="24"/>
  <c r="J48" i="25" s="1"/>
  <c r="P48" i="25" s="1"/>
  <c r="J99" i="24"/>
  <c r="J99" i="25" s="1"/>
  <c r="P99" i="25" s="1"/>
  <c r="J92" i="24"/>
  <c r="J92" i="25" s="1"/>
  <c r="P92" i="25" s="1"/>
  <c r="J5" i="24"/>
  <c r="J5" i="25" s="1"/>
  <c r="P5" i="25" s="1"/>
  <c r="J182" i="24"/>
  <c r="J182" i="25" s="1"/>
  <c r="P182" i="25" s="1"/>
  <c r="J153" i="24"/>
  <c r="J153" i="25" s="1"/>
  <c r="P153" i="25" s="1"/>
  <c r="J13" i="24"/>
  <c r="J13" i="25" s="1"/>
  <c r="P13" i="25" s="1"/>
  <c r="J138" i="24"/>
  <c r="J138" i="25" s="1"/>
  <c r="P138" i="25" s="1"/>
  <c r="J171" i="24"/>
  <c r="J171" i="25" s="1"/>
  <c r="P171" i="25" s="1"/>
  <c r="J130" i="24"/>
  <c r="J130" i="25" s="1"/>
  <c r="P130" i="25" s="1"/>
  <c r="J157" i="24"/>
  <c r="J157" i="25" s="1"/>
  <c r="P157" i="25" s="1"/>
  <c r="J90" i="24"/>
  <c r="J90" i="25" s="1"/>
  <c r="P90" i="25" s="1"/>
  <c r="J73" i="24"/>
  <c r="J73" i="25" s="1"/>
  <c r="P73" i="25" s="1"/>
  <c r="J134" i="24"/>
  <c r="J134" i="25" s="1"/>
  <c r="P134" i="25" s="1"/>
  <c r="J44" i="24"/>
  <c r="J44" i="25" s="1"/>
  <c r="P44" i="25" s="1"/>
  <c r="J8" i="24"/>
  <c r="J8" i="25" s="1"/>
  <c r="P8" i="25" s="1"/>
  <c r="J70" i="24"/>
  <c r="J70" i="25" s="1"/>
  <c r="P70" i="25" s="1"/>
  <c r="J124" i="24"/>
  <c r="J124" i="25" s="1"/>
  <c r="P124" i="25" s="1"/>
  <c r="J68" i="24"/>
  <c r="J68" i="25" s="1"/>
  <c r="P68" i="25" s="1"/>
  <c r="J58" i="24"/>
  <c r="J58" i="25" s="1"/>
  <c r="P58" i="25" s="1"/>
  <c r="J4" i="24"/>
  <c r="J4" i="25" s="1"/>
  <c r="P4" i="25" s="1"/>
  <c r="J126" i="24"/>
  <c r="J126" i="25" s="1"/>
  <c r="P126" i="25" s="1"/>
  <c r="J141" i="24"/>
  <c r="J141" i="25" s="1"/>
  <c r="P141" i="25" s="1"/>
  <c r="J111" i="24"/>
  <c r="J111" i="25" s="1"/>
  <c r="P111" i="25" s="1"/>
  <c r="J106" i="24"/>
  <c r="J106" i="25" s="1"/>
  <c r="P106" i="25" s="1"/>
  <c r="J107" i="24"/>
  <c r="J107" i="25" s="1"/>
  <c r="P107" i="25" s="1"/>
  <c r="J28" i="24"/>
  <c r="J28" i="25" s="1"/>
  <c r="P28" i="25" s="1"/>
  <c r="J91" i="24"/>
  <c r="J91" i="25" s="1"/>
  <c r="P91" i="25" s="1"/>
  <c r="J161" i="24"/>
  <c r="J161" i="25" s="1"/>
  <c r="P161" i="25" s="1"/>
  <c r="J24" i="24"/>
  <c r="J24" i="25" s="1"/>
  <c r="P24" i="25" s="1"/>
  <c r="J51" i="24"/>
  <c r="J51" i="25" s="1"/>
  <c r="P51" i="25" s="1"/>
  <c r="J166" i="24"/>
  <c r="J166" i="25" s="1"/>
  <c r="P166" i="25" s="1"/>
  <c r="J165" i="24"/>
  <c r="J165" i="25" s="1"/>
  <c r="P165" i="25" s="1"/>
  <c r="J6" i="24"/>
  <c r="J6" i="25" s="1"/>
  <c r="P6" i="25" s="1"/>
  <c r="J63" i="24"/>
  <c r="J63" i="25" s="1"/>
  <c r="P63" i="25" s="1"/>
  <c r="J29" i="24"/>
  <c r="J29" i="25" s="1"/>
  <c r="P29" i="25" s="1"/>
  <c r="J14" i="24"/>
  <c r="J14" i="25" s="1"/>
  <c r="P14" i="25" s="1"/>
  <c r="J164" i="24"/>
  <c r="J164" i="25" s="1"/>
  <c r="P164" i="25" s="1"/>
  <c r="J144" i="24"/>
  <c r="J144" i="25" s="1"/>
  <c r="P144" i="25" s="1"/>
  <c r="J104" i="24"/>
  <c r="J104" i="25" s="1"/>
  <c r="P104" i="25" s="1"/>
  <c r="J72" i="24"/>
  <c r="J72" i="25" s="1"/>
  <c r="P72" i="25" s="1"/>
  <c r="J88" i="24"/>
  <c r="J88" i="25" s="1"/>
  <c r="P88" i="25" s="1"/>
  <c r="J45" i="24"/>
  <c r="J45" i="25" s="1"/>
  <c r="P45" i="25" s="1"/>
  <c r="J11" i="24"/>
  <c r="J11" i="25" s="1"/>
  <c r="P11" i="25" s="1"/>
  <c r="J71" i="24"/>
  <c r="J71" i="25" s="1"/>
  <c r="P71" i="25" s="1"/>
  <c r="J64" i="24"/>
  <c r="J64" i="25" s="1"/>
  <c r="P64" i="25" s="1"/>
  <c r="J95" i="24"/>
  <c r="J95" i="25" s="1"/>
  <c r="P95" i="25" s="1"/>
  <c r="J100" i="24"/>
  <c r="J100" i="25" s="1"/>
  <c r="P100" i="25" s="1"/>
  <c r="J30" i="24"/>
  <c r="J30" i="25" s="1"/>
  <c r="P30" i="25" s="1"/>
  <c r="J52" i="24"/>
  <c r="J52" i="25" s="1"/>
  <c r="P52" i="25" s="1"/>
  <c r="J108" i="24"/>
  <c r="J108" i="25" s="1"/>
  <c r="P108" i="25" s="1"/>
  <c r="J33" i="24"/>
  <c r="J33" i="25" s="1"/>
  <c r="P33" i="25" s="1"/>
  <c r="J158" i="24"/>
  <c r="J158" i="25" s="1"/>
  <c r="P158" i="25" s="1"/>
  <c r="J118" i="24"/>
  <c r="J118" i="25" s="1"/>
  <c r="P118" i="25" s="1"/>
  <c r="J97" i="24"/>
  <c r="J97" i="25" s="1"/>
  <c r="P97" i="25" s="1"/>
  <c r="J69" i="24"/>
  <c r="J69" i="25" s="1"/>
  <c r="P69" i="25" s="1"/>
  <c r="J115" i="24"/>
  <c r="J115" i="25" s="1"/>
  <c r="P115" i="25" s="1"/>
  <c r="J7" i="24"/>
  <c r="J7" i="25" s="1"/>
  <c r="P7" i="25" s="1"/>
  <c r="J81" i="24"/>
  <c r="J81" i="25" s="1"/>
  <c r="P81" i="25" s="1"/>
  <c r="J103" i="24"/>
  <c r="J103" i="25" s="1"/>
  <c r="P103" i="25" s="1"/>
  <c r="J137" i="24"/>
  <c r="J137" i="25" s="1"/>
  <c r="P137" i="25" s="1"/>
  <c r="J4" i="17"/>
  <c r="P4" i="17" s="1"/>
  <c r="J122" i="24"/>
  <c r="J122" i="25" s="1"/>
  <c r="P122" i="25" s="1"/>
  <c r="J37" i="24"/>
  <c r="J37" i="25" s="1"/>
  <c r="P37" i="25" s="1"/>
  <c r="J110" i="24"/>
  <c r="J110" i="25" s="1"/>
  <c r="P110" i="25" s="1"/>
  <c r="J172" i="24"/>
  <c r="J172" i="25" s="1"/>
  <c r="P172" i="25" s="1"/>
  <c r="J163" i="24"/>
  <c r="J163" i="25" s="1"/>
  <c r="P163" i="25" s="1"/>
  <c r="J38" i="24"/>
  <c r="J38" i="25" s="1"/>
  <c r="P38" i="25" s="1"/>
  <c r="J79" i="24"/>
  <c r="J79" i="25" s="1"/>
  <c r="P79" i="25" s="1"/>
  <c r="J151" i="24"/>
  <c r="J151" i="25" s="1"/>
  <c r="P151" i="25" s="1"/>
  <c r="J183" i="24"/>
  <c r="J183" i="25" s="1"/>
  <c r="P183" i="25" s="1"/>
  <c r="J35" i="24"/>
  <c r="J35" i="25" s="1"/>
  <c r="P35" i="25" s="1"/>
  <c r="J135" i="24"/>
  <c r="J135" i="25" s="1"/>
  <c r="P135" i="25" s="1"/>
  <c r="J123" i="24"/>
  <c r="J123" i="25" s="1"/>
  <c r="P123" i="25" s="1"/>
  <c r="J152" i="24"/>
  <c r="J152" i="25" s="1"/>
  <c r="P152" i="25" s="1"/>
  <c r="J176" i="24"/>
  <c r="J176" i="25" s="1"/>
  <c r="P176" i="25" s="1"/>
  <c r="J180" i="24"/>
  <c r="J180" i="25" s="1"/>
  <c r="P180" i="25" s="1"/>
  <c r="J128" i="24"/>
  <c r="J128" i="25" s="1"/>
  <c r="P128" i="25" s="1"/>
  <c r="J77" i="24"/>
  <c r="J77" i="25" s="1"/>
  <c r="P77" i="25" s="1"/>
  <c r="J109" i="24"/>
  <c r="J109" i="25" s="1"/>
  <c r="P109" i="25" s="1"/>
  <c r="J23" i="24"/>
  <c r="J23" i="25" s="1"/>
  <c r="P23" i="25" s="1"/>
  <c r="J94" i="24"/>
  <c r="J94" i="25" s="1"/>
  <c r="P94" i="25" s="1"/>
  <c r="J133" i="24"/>
  <c r="J133" i="25" s="1"/>
  <c r="P133" i="25" s="1"/>
  <c r="J143" i="24"/>
  <c r="J143" i="25" s="1"/>
  <c r="P143" i="25" s="1"/>
  <c r="J139" i="24"/>
  <c r="J139" i="25" s="1"/>
  <c r="P139" i="25" s="1"/>
  <c r="J54" i="24"/>
  <c r="J54" i="25" s="1"/>
  <c r="P54" i="25" s="1"/>
  <c r="J56" i="24"/>
  <c r="J56" i="25" s="1"/>
  <c r="P56" i="25" s="1"/>
  <c r="J86" i="24"/>
  <c r="J86" i="25" s="1"/>
  <c r="P86" i="25" s="1"/>
  <c r="J21" i="24"/>
  <c r="J21" i="25" s="1"/>
  <c r="P21" i="25" s="1"/>
  <c r="J39" i="24"/>
  <c r="J39" i="25" s="1"/>
  <c r="P39" i="25" s="1"/>
  <c r="J132" i="24"/>
  <c r="J132" i="25" s="1"/>
  <c r="P132" i="25" s="1"/>
  <c r="J145" i="24"/>
  <c r="J145" i="25" s="1"/>
  <c r="P145" i="25" s="1"/>
  <c r="J155" i="24"/>
  <c r="J155" i="25" s="1"/>
  <c r="P155" i="25" s="1"/>
  <c r="J19" i="24"/>
  <c r="J19" i="25" s="1"/>
  <c r="P19" i="25" s="1"/>
  <c r="J116" i="24"/>
  <c r="J116" i="25" s="1"/>
  <c r="P116" i="25" s="1"/>
  <c r="J167" i="24"/>
  <c r="J167" i="25" s="1"/>
  <c r="P167" i="25" s="1"/>
  <c r="J10" i="24"/>
  <c r="J10" i="25" s="1"/>
  <c r="P10" i="25" s="1"/>
  <c r="J121" i="24"/>
  <c r="J121" i="25" s="1"/>
  <c r="P121" i="25" s="1"/>
  <c r="J162" i="24"/>
  <c r="J162" i="25" s="1"/>
  <c r="P162" i="25" s="1"/>
  <c r="J49" i="24"/>
  <c r="J49" i="25" s="1"/>
  <c r="P49" i="25" s="1"/>
  <c r="J142" i="24"/>
  <c r="J142" i="25" s="1"/>
  <c r="P142" i="25" s="1"/>
  <c r="J85" i="24"/>
  <c r="J85" i="25" s="1"/>
  <c r="P85" i="25" s="1"/>
  <c r="J93" i="24"/>
  <c r="J93" i="25" s="1"/>
  <c r="P93" i="25" s="1"/>
  <c r="J40" i="24"/>
  <c r="J40" i="25" s="1"/>
  <c r="P40" i="25" s="1"/>
  <c r="J119" i="24"/>
  <c r="J119" i="25" s="1"/>
  <c r="P119" i="25" s="1"/>
  <c r="J148" i="24"/>
  <c r="J148" i="25" s="1"/>
  <c r="P148" i="25" s="1"/>
  <c r="J22" i="24"/>
  <c r="J22" i="25" s="1"/>
  <c r="P22" i="25" s="1"/>
  <c r="J102" i="24"/>
  <c r="J102" i="25" s="1"/>
  <c r="P102" i="25" s="1"/>
  <c r="J75" i="24"/>
  <c r="J75" i="25" s="1"/>
  <c r="P75" i="25" s="1"/>
  <c r="J67" i="24"/>
  <c r="J67" i="25" s="1"/>
  <c r="P67" i="25" s="1"/>
  <c r="J16" i="24"/>
  <c r="J16" i="25" s="1"/>
  <c r="P16" i="25" s="1"/>
  <c r="J83" i="24"/>
  <c r="J83" i="25" s="1"/>
  <c r="P83" i="25" s="1"/>
  <c r="J46" i="24"/>
  <c r="J46" i="25" s="1"/>
  <c r="P46" i="25" s="1"/>
  <c r="J149" i="24"/>
  <c r="J149" i="25" s="1"/>
  <c r="P149" i="25" s="1"/>
  <c r="J177" i="24"/>
  <c r="J177" i="25" s="1"/>
  <c r="P177" i="25" s="1"/>
  <c r="J27" i="24"/>
  <c r="J27" i="25" s="1"/>
  <c r="P27" i="25" s="1"/>
  <c r="J169" i="24"/>
  <c r="J169" i="25" s="1"/>
  <c r="P169" i="25" s="1"/>
  <c r="J55" i="24"/>
  <c r="J55" i="25" s="1"/>
  <c r="P55" i="25" s="1"/>
  <c r="J96" i="24"/>
  <c r="J96" i="25" s="1"/>
  <c r="P96" i="25" s="1"/>
  <c r="J89" i="24"/>
  <c r="J89" i="25" s="1"/>
  <c r="P89" i="25" s="1"/>
  <c r="J31" i="24"/>
  <c r="J31" i="25" s="1"/>
  <c r="P31" i="25" s="1"/>
  <c r="J43" i="24"/>
  <c r="J43" i="25" s="1"/>
  <c r="P43" i="25" s="1"/>
  <c r="J47" i="24"/>
  <c r="J47" i="25" s="1"/>
  <c r="P47" i="25" s="1"/>
  <c r="J9" i="24"/>
  <c r="J9" i="25" s="1"/>
  <c r="P9" i="25" s="1"/>
  <c r="J65" i="24"/>
  <c r="J65" i="25" s="1"/>
  <c r="P65" i="25" s="1"/>
  <c r="J84" i="24"/>
  <c r="J84" i="25" s="1"/>
  <c r="P84" i="25" s="1"/>
  <c r="J76" i="24"/>
  <c r="J76" i="25" s="1"/>
  <c r="P76" i="25" s="1"/>
  <c r="J53" i="24"/>
  <c r="J53" i="25" s="1"/>
  <c r="P53" i="25" s="1"/>
  <c r="J112" i="24"/>
  <c r="J112" i="25" s="1"/>
  <c r="P112" i="25" s="1"/>
  <c r="J117" i="24"/>
  <c r="J117" i="25" s="1"/>
  <c r="P117" i="25" s="1"/>
  <c r="J113" i="24"/>
  <c r="J113" i="25" s="1"/>
  <c r="P113" i="25" s="1"/>
  <c r="J184" i="24"/>
  <c r="J184" i="25" s="1"/>
  <c r="P184" i="25" s="1"/>
  <c r="J181" i="24"/>
  <c r="J181" i="25" s="1"/>
  <c r="P181" i="25" s="1"/>
  <c r="J129" i="24"/>
  <c r="J129" i="25" s="1"/>
  <c r="P129" i="25" s="1"/>
  <c r="J174" i="24"/>
  <c r="J174" i="25" s="1"/>
  <c r="P174" i="25" s="1"/>
  <c r="J74" i="24"/>
  <c r="J74" i="25" s="1"/>
  <c r="P74" i="25" s="1"/>
  <c r="J114" i="24"/>
  <c r="J114" i="25" s="1"/>
  <c r="P114" i="25" s="1"/>
  <c r="J150" i="24"/>
  <c r="J150" i="25" s="1"/>
  <c r="P150" i="25" s="1"/>
  <c r="J50" i="24"/>
  <c r="J50" i="25" s="1"/>
  <c r="P50" i="25" s="1"/>
  <c r="J41" i="24"/>
  <c r="J41" i="25" s="1"/>
  <c r="P41" i="25" s="1"/>
  <c r="J175" i="24"/>
  <c r="J175" i="25" s="1"/>
  <c r="P175" i="25" s="1"/>
  <c r="J131" i="24"/>
  <c r="J131" i="25" s="1"/>
  <c r="P131" i="25" s="1"/>
  <c r="J127" i="24"/>
  <c r="J127" i="25" s="1"/>
  <c r="P127" i="25" s="1"/>
  <c r="J66" i="24"/>
  <c r="J66" i="25" s="1"/>
  <c r="P66" i="25" s="1"/>
  <c r="J146" i="24"/>
  <c r="J146" i="25" s="1"/>
  <c r="P146" i="25" s="1"/>
  <c r="J32" i="24"/>
  <c r="J32" i="25" s="1"/>
  <c r="P32" i="25" s="1"/>
  <c r="J185" i="24"/>
  <c r="J185" i="25" s="1"/>
  <c r="P185" i="25" s="1"/>
  <c r="J82" i="24"/>
  <c r="J82" i="25" s="1"/>
  <c r="P82" i="25" s="1"/>
  <c r="J17" i="24"/>
  <c r="J17" i="25" s="1"/>
  <c r="P17" i="25" s="1"/>
  <c r="J154" i="24"/>
  <c r="J154" i="25" s="1"/>
  <c r="P154" i="25" s="1"/>
  <c r="J15" i="24"/>
  <c r="J15" i="25" s="1"/>
  <c r="P15" i="25" s="1"/>
  <c r="I4" i="24"/>
  <c r="J4" i="8"/>
  <c r="P4" i="8" s="1"/>
  <c r="H4" i="8"/>
  <c r="R4" i="8" s="1"/>
  <c r="I5" i="2"/>
  <c r="H5" i="17"/>
  <c r="R5" i="17" s="1"/>
  <c r="I6" i="16"/>
  <c r="R4" i="17"/>
  <c r="I5" i="24" l="1"/>
  <c r="I6" i="24" s="1"/>
  <c r="H5" i="25"/>
  <c r="R5" i="25" s="1"/>
  <c r="H4" i="25"/>
  <c r="R4" i="25" s="1"/>
  <c r="I6" i="2"/>
  <c r="H5" i="8"/>
  <c r="R5" i="8" s="1"/>
  <c r="H6" i="17"/>
  <c r="R6" i="17" s="1"/>
  <c r="I7" i="16"/>
  <c r="H6" i="25"/>
  <c r="I7" i="24"/>
  <c r="H6" i="8" l="1"/>
  <c r="R6" i="8" s="1"/>
  <c r="I7" i="2"/>
  <c r="H7" i="17"/>
  <c r="I8" i="16"/>
  <c r="H7" i="25"/>
  <c r="I8" i="24"/>
  <c r="R6" i="25"/>
  <c r="H7" i="8" l="1"/>
  <c r="R7" i="8" s="1"/>
  <c r="I8" i="2"/>
  <c r="H8" i="17"/>
  <c r="I9" i="16"/>
  <c r="H8" i="25"/>
  <c r="I9" i="24"/>
  <c r="R7" i="25"/>
  <c r="R7" i="17"/>
  <c r="I9" i="2" l="1"/>
  <c r="H8" i="8"/>
  <c r="R8" i="8" s="1"/>
  <c r="R8" i="17"/>
  <c r="H9" i="25"/>
  <c r="I10" i="24"/>
  <c r="R8" i="25"/>
  <c r="H9" i="17"/>
  <c r="R9" i="17" s="1"/>
  <c r="I10" i="16"/>
  <c r="H9" i="8" l="1"/>
  <c r="R9" i="8" s="1"/>
  <c r="I10" i="2"/>
  <c r="H10" i="25"/>
  <c r="R10" i="25" s="1"/>
  <c r="I11" i="24"/>
  <c r="R9" i="25"/>
  <c r="H10" i="17"/>
  <c r="R10" i="17" s="1"/>
  <c r="I11" i="16"/>
  <c r="I11" i="2" l="1"/>
  <c r="H10" i="8"/>
  <c r="R10" i="8" s="1"/>
  <c r="H11" i="17"/>
  <c r="R11" i="17" s="1"/>
  <c r="I12" i="16"/>
  <c r="S6" i="42"/>
  <c r="H11" i="25"/>
  <c r="R11" i="25" s="1"/>
  <c r="I12" i="24"/>
  <c r="AG6" i="42"/>
  <c r="E6" i="42" l="1"/>
  <c r="H11" i="8"/>
  <c r="R11" i="8" s="1"/>
  <c r="I12" i="2"/>
  <c r="H12" i="17"/>
  <c r="R12" i="17" s="1"/>
  <c r="I13" i="16"/>
  <c r="H12" i="25"/>
  <c r="R12" i="25" s="1"/>
  <c r="I13" i="24"/>
  <c r="AM6" i="42"/>
  <c r="AF6" i="42"/>
  <c r="AK6" i="42"/>
  <c r="W6" i="42"/>
  <c r="R6" i="42"/>
  <c r="Y6" i="42"/>
  <c r="H12" i="8" l="1"/>
  <c r="R12" i="8" s="1"/>
  <c r="I13" i="2"/>
  <c r="D6" i="42"/>
  <c r="H13" i="25"/>
  <c r="R13" i="25" s="1"/>
  <c r="I14" i="24"/>
  <c r="H13" i="17"/>
  <c r="R13" i="17" s="1"/>
  <c r="I14" i="16"/>
  <c r="I14" i="2" l="1"/>
  <c r="H13" i="8"/>
  <c r="R13" i="8" s="1"/>
  <c r="H14" i="17"/>
  <c r="R14" i="17" s="1"/>
  <c r="I15" i="16"/>
  <c r="H14" i="25"/>
  <c r="R14" i="25" s="1"/>
  <c r="I15" i="24"/>
  <c r="H14" i="8" l="1"/>
  <c r="R14" i="8" s="1"/>
  <c r="I15" i="2"/>
  <c r="H15" i="25"/>
  <c r="R15" i="25" s="1"/>
  <c r="I16" i="24"/>
  <c r="H15" i="17"/>
  <c r="R15" i="17" s="1"/>
  <c r="I16" i="16"/>
  <c r="H15" i="8" l="1"/>
  <c r="R15" i="8" s="1"/>
  <c r="I16" i="2"/>
  <c r="H16" i="17"/>
  <c r="R16" i="17" s="1"/>
  <c r="I17" i="16"/>
  <c r="H16" i="25"/>
  <c r="R16" i="25" s="1"/>
  <c r="I17" i="24"/>
  <c r="H16" i="8" l="1"/>
  <c r="R16" i="8" s="1"/>
  <c r="I17" i="2"/>
  <c r="H17" i="17"/>
  <c r="R17" i="17" s="1"/>
  <c r="I18" i="16"/>
  <c r="H17" i="25"/>
  <c r="R17" i="25" s="1"/>
  <c r="I18" i="24"/>
  <c r="H17" i="8" l="1"/>
  <c r="R17" i="8" s="1"/>
  <c r="I18" i="2"/>
  <c r="H18" i="25"/>
  <c r="R18" i="25" s="1"/>
  <c r="I19" i="24"/>
  <c r="AG7" i="42"/>
  <c r="H18" i="17"/>
  <c r="R18" i="17" s="1"/>
  <c r="I19" i="16"/>
  <c r="S7" i="42"/>
  <c r="H18" i="8" l="1"/>
  <c r="R18" i="8" s="1"/>
  <c r="I19" i="2"/>
  <c r="E7" i="42"/>
  <c r="AF7" i="42"/>
  <c r="AM7" i="42"/>
  <c r="AK7" i="42"/>
  <c r="H19" i="25"/>
  <c r="R19" i="25" s="1"/>
  <c r="I20" i="24"/>
  <c r="Y7" i="42"/>
  <c r="R7" i="42"/>
  <c r="W7" i="42"/>
  <c r="H19" i="17"/>
  <c r="R19" i="17" s="1"/>
  <c r="I20" i="16"/>
  <c r="I7" i="42" l="1"/>
  <c r="D7" i="42"/>
  <c r="F6" i="42"/>
  <c r="H19" i="8"/>
  <c r="R19" i="8" s="1"/>
  <c r="I20" i="2"/>
  <c r="H20" i="25"/>
  <c r="R20" i="25" s="1"/>
  <c r="I21" i="24"/>
  <c r="H20" i="17"/>
  <c r="R20" i="17" s="1"/>
  <c r="I21" i="16"/>
  <c r="I21" i="2" l="1"/>
  <c r="H20" i="8"/>
  <c r="R20" i="8" s="1"/>
  <c r="H21" i="17"/>
  <c r="R21" i="17" s="1"/>
  <c r="I22" i="16"/>
  <c r="H21" i="25"/>
  <c r="R21" i="25" s="1"/>
  <c r="I22" i="24"/>
  <c r="H21" i="8" l="1"/>
  <c r="R21" i="8" s="1"/>
  <c r="I22" i="2"/>
  <c r="I23" i="24"/>
  <c r="H22" i="25"/>
  <c r="R22" i="25" s="1"/>
  <c r="H22" i="17"/>
  <c r="R22" i="17" s="1"/>
  <c r="I23" i="16"/>
  <c r="H22" i="8" l="1"/>
  <c r="R22" i="8" s="1"/>
  <c r="I23" i="2"/>
  <c r="H23" i="17"/>
  <c r="R23" i="17" s="1"/>
  <c r="I24" i="16"/>
  <c r="H23" i="25"/>
  <c r="R23" i="25" s="1"/>
  <c r="I24" i="24"/>
  <c r="H23" i="8" l="1"/>
  <c r="R23" i="8" s="1"/>
  <c r="I24" i="2"/>
  <c r="H24" i="17"/>
  <c r="R24" i="17" s="1"/>
  <c r="I25" i="16"/>
  <c r="H24" i="25"/>
  <c r="R24" i="25" s="1"/>
  <c r="I25" i="24"/>
  <c r="I25" i="2" l="1"/>
  <c r="H24" i="8"/>
  <c r="R24" i="8" s="1"/>
  <c r="H25" i="17"/>
  <c r="R25" i="17" s="1"/>
  <c r="I26" i="16"/>
  <c r="S8" i="42"/>
  <c r="H25" i="25"/>
  <c r="R25" i="25" s="1"/>
  <c r="I26" i="24"/>
  <c r="AG8" i="42"/>
  <c r="E8" i="42" l="1"/>
  <c r="H25" i="8"/>
  <c r="R25" i="8" s="1"/>
  <c r="I26" i="2"/>
  <c r="H26" i="25"/>
  <c r="R26" i="25" s="1"/>
  <c r="I27" i="24"/>
  <c r="AF8" i="42"/>
  <c r="AK8" i="42"/>
  <c r="AM8" i="42"/>
  <c r="Y8" i="42"/>
  <c r="W8" i="42"/>
  <c r="R8" i="42"/>
  <c r="I27" i="16"/>
  <c r="H26" i="17"/>
  <c r="R26" i="17" s="1"/>
  <c r="I27" i="2" l="1"/>
  <c r="H26" i="8"/>
  <c r="R26" i="8" s="1"/>
  <c r="D8" i="42"/>
  <c r="F7" i="42"/>
  <c r="I8" i="42"/>
  <c r="H27" i="25"/>
  <c r="R27" i="25" s="1"/>
  <c r="I28" i="24"/>
  <c r="H27" i="17"/>
  <c r="R27" i="17" s="1"/>
  <c r="I28" i="16"/>
  <c r="H27" i="8" l="1"/>
  <c r="R27" i="8" s="1"/>
  <c r="I28" i="2"/>
  <c r="H28" i="17"/>
  <c r="R28" i="17" s="1"/>
  <c r="I29" i="16"/>
  <c r="H28" i="25"/>
  <c r="R28" i="25" s="1"/>
  <c r="I29" i="24"/>
  <c r="I29" i="2" l="1"/>
  <c r="H28" i="8"/>
  <c r="R28" i="8" s="1"/>
  <c r="H29" i="25"/>
  <c r="R29" i="25" s="1"/>
  <c r="I30" i="24"/>
  <c r="H29" i="17"/>
  <c r="R29" i="17" s="1"/>
  <c r="I30" i="16"/>
  <c r="H29" i="8" l="1"/>
  <c r="R29" i="8" s="1"/>
  <c r="I30" i="2"/>
  <c r="I31" i="24"/>
  <c r="H30" i="25"/>
  <c r="R30" i="25" s="1"/>
  <c r="H30" i="17"/>
  <c r="R30" i="17" s="1"/>
  <c r="I31" i="16"/>
  <c r="H30" i="8" l="1"/>
  <c r="R30" i="8" s="1"/>
  <c r="I31" i="2"/>
  <c r="H31" i="17"/>
  <c r="R31" i="17" s="1"/>
  <c r="I32" i="16"/>
  <c r="H31" i="25"/>
  <c r="R31" i="25" s="1"/>
  <c r="I32" i="24"/>
  <c r="I32" i="2" l="1"/>
  <c r="H31" i="8"/>
  <c r="R31" i="8" s="1"/>
  <c r="H32" i="25"/>
  <c r="R32" i="25" s="1"/>
  <c r="I33" i="24"/>
  <c r="H32" i="17"/>
  <c r="R32" i="17" s="1"/>
  <c r="I33" i="16"/>
  <c r="S9" i="42"/>
  <c r="AG9" i="42"/>
  <c r="E9" i="42" l="1"/>
  <c r="H32" i="8"/>
  <c r="R32" i="8" s="1"/>
  <c r="I33" i="2"/>
  <c r="R9" i="42"/>
  <c r="Y9" i="42"/>
  <c r="W9" i="42"/>
  <c r="H33" i="17"/>
  <c r="R33" i="17" s="1"/>
  <c r="I34" i="16"/>
  <c r="AF9" i="42"/>
  <c r="AM9" i="42"/>
  <c r="AK9" i="42"/>
  <c r="H33" i="25"/>
  <c r="R33" i="25" s="1"/>
  <c r="I34" i="24"/>
  <c r="H33" i="8" l="1"/>
  <c r="R33" i="8" s="1"/>
  <c r="I34" i="2"/>
  <c r="F8" i="42"/>
  <c r="D9" i="42"/>
  <c r="I9" i="42"/>
  <c r="H34" i="25"/>
  <c r="R34" i="25" s="1"/>
  <c r="I35" i="24"/>
  <c r="H34" i="17"/>
  <c r="R34" i="17" s="1"/>
  <c r="I35" i="16"/>
  <c r="H34" i="8" l="1"/>
  <c r="R34" i="8" s="1"/>
  <c r="I35" i="2"/>
  <c r="H35" i="25"/>
  <c r="R35" i="25" s="1"/>
  <c r="I36" i="24"/>
  <c r="H35" i="17"/>
  <c r="R35" i="17" s="1"/>
  <c r="I36" i="16"/>
  <c r="I36" i="2" l="1"/>
  <c r="H35" i="8"/>
  <c r="R35" i="8" s="1"/>
  <c r="H36" i="17"/>
  <c r="R36" i="17" s="1"/>
  <c r="I37" i="16"/>
  <c r="I37" i="24"/>
  <c r="H36" i="25"/>
  <c r="R36" i="25" s="1"/>
  <c r="H36" i="8" l="1"/>
  <c r="R36" i="8" s="1"/>
  <c r="I37" i="2"/>
  <c r="H37" i="17"/>
  <c r="R37" i="17" s="1"/>
  <c r="I38" i="16"/>
  <c r="H37" i="25"/>
  <c r="R37" i="25" s="1"/>
  <c r="I38" i="24"/>
  <c r="H37" i="8" l="1"/>
  <c r="R37" i="8" s="1"/>
  <c r="I38" i="2"/>
  <c r="H38" i="25"/>
  <c r="R38" i="25" s="1"/>
  <c r="I39" i="24"/>
  <c r="H38" i="17"/>
  <c r="R38" i="17" s="1"/>
  <c r="I39" i="16"/>
  <c r="I39" i="2" l="1"/>
  <c r="H38" i="8"/>
  <c r="R38" i="8" s="1"/>
  <c r="H39" i="17"/>
  <c r="R39" i="17" s="1"/>
  <c r="I40" i="16"/>
  <c r="S10" i="42"/>
  <c r="H39" i="25"/>
  <c r="R39" i="25" s="1"/>
  <c r="I40" i="24"/>
  <c r="AG10" i="42"/>
  <c r="E10" i="42" l="1"/>
  <c r="I40" i="2"/>
  <c r="H39" i="8"/>
  <c r="R39" i="8" s="1"/>
  <c r="H40" i="17"/>
  <c r="R40" i="17" s="1"/>
  <c r="I41" i="16"/>
  <c r="H40" i="25"/>
  <c r="R40" i="25" s="1"/>
  <c r="I41" i="24"/>
  <c r="AM10" i="42"/>
  <c r="AF10" i="42"/>
  <c r="AK10" i="42"/>
  <c r="Y10" i="42"/>
  <c r="W10" i="42"/>
  <c r="R10" i="42"/>
  <c r="F9" i="42" l="1"/>
  <c r="D10" i="42"/>
  <c r="I10" i="42"/>
  <c r="H40" i="8"/>
  <c r="R40" i="8" s="1"/>
  <c r="I41" i="2"/>
  <c r="H41" i="17"/>
  <c r="R41" i="17" s="1"/>
  <c r="I42" i="16"/>
  <c r="H41" i="25"/>
  <c r="R41" i="25" s="1"/>
  <c r="I42" i="24"/>
  <c r="H41" i="8" l="1"/>
  <c r="R41" i="8" s="1"/>
  <c r="I42" i="2"/>
  <c r="H42" i="17"/>
  <c r="R42" i="17" s="1"/>
  <c r="I43" i="16"/>
  <c r="H42" i="25"/>
  <c r="R42" i="25" s="1"/>
  <c r="I43" i="24"/>
  <c r="I43" i="2" l="1"/>
  <c r="H42" i="8"/>
  <c r="R42" i="8" s="1"/>
  <c r="H43" i="25"/>
  <c r="R43" i="25" s="1"/>
  <c r="I44" i="24"/>
  <c r="H43" i="17"/>
  <c r="R43" i="17" s="1"/>
  <c r="I44" i="16"/>
  <c r="H43" i="8" l="1"/>
  <c r="R43" i="8" s="1"/>
  <c r="I44" i="2"/>
  <c r="H44" i="17"/>
  <c r="R44" i="17" s="1"/>
  <c r="I45" i="16"/>
  <c r="I45" i="24"/>
  <c r="H44" i="25"/>
  <c r="R44" i="25" s="1"/>
  <c r="H44" i="8" l="1"/>
  <c r="R44" i="8" s="1"/>
  <c r="I45" i="2"/>
  <c r="H45" i="25"/>
  <c r="R45" i="25" s="1"/>
  <c r="I46" i="24"/>
  <c r="H45" i="17"/>
  <c r="R45" i="17" s="1"/>
  <c r="I46" i="16"/>
  <c r="H45" i="8" l="1"/>
  <c r="R45" i="8" s="1"/>
  <c r="I46" i="2"/>
  <c r="S11" i="42"/>
  <c r="H46" i="17"/>
  <c r="R46" i="17" s="1"/>
  <c r="I47" i="16"/>
  <c r="H46" i="25"/>
  <c r="R46" i="25" s="1"/>
  <c r="I47" i="24"/>
  <c r="AG11" i="42"/>
  <c r="I47" i="2" l="1"/>
  <c r="H46" i="8"/>
  <c r="R46" i="8" s="1"/>
  <c r="E11" i="42"/>
  <c r="H47" i="17"/>
  <c r="R47" i="17" s="1"/>
  <c r="I48" i="16"/>
  <c r="AK11" i="42"/>
  <c r="AF11" i="42"/>
  <c r="AM11" i="42"/>
  <c r="W11" i="42"/>
  <c r="Y11" i="42"/>
  <c r="R11" i="42"/>
  <c r="H47" i="25"/>
  <c r="R47" i="25" s="1"/>
  <c r="I48" i="24"/>
  <c r="I48" i="2" l="1"/>
  <c r="H47" i="8"/>
  <c r="R47" i="8" s="1"/>
  <c r="F10" i="42"/>
  <c r="D11" i="42"/>
  <c r="I11" i="42"/>
  <c r="H48" i="25"/>
  <c r="R48" i="25" s="1"/>
  <c r="I49" i="24"/>
  <c r="H48" i="17"/>
  <c r="R48" i="17" s="1"/>
  <c r="I49" i="16"/>
  <c r="H48" i="8" l="1"/>
  <c r="R48" i="8" s="1"/>
  <c r="I49" i="2"/>
  <c r="H49" i="25"/>
  <c r="R49" i="25" s="1"/>
  <c r="I50" i="24"/>
  <c r="H49" i="17"/>
  <c r="R49" i="17" s="1"/>
  <c r="I50" i="16"/>
  <c r="H49" i="8" l="1"/>
  <c r="R49" i="8" s="1"/>
  <c r="I50" i="2"/>
  <c r="H50" i="17"/>
  <c r="R50" i="17" s="1"/>
  <c r="I51" i="16"/>
  <c r="H50" i="25"/>
  <c r="R50" i="25" s="1"/>
  <c r="I51" i="24"/>
  <c r="I51" i="2" l="1"/>
  <c r="H50" i="8"/>
  <c r="R50" i="8" s="1"/>
  <c r="H51" i="25"/>
  <c r="R51" i="25" s="1"/>
  <c r="I52" i="24"/>
  <c r="H51" i="17"/>
  <c r="R51" i="17" s="1"/>
  <c r="I52" i="16"/>
  <c r="H51" i="8" l="1"/>
  <c r="R51" i="8" s="1"/>
  <c r="I52" i="2"/>
  <c r="H52" i="25"/>
  <c r="R52" i="25" s="1"/>
  <c r="I53" i="24"/>
  <c r="H52" i="17"/>
  <c r="R52" i="17" s="1"/>
  <c r="I53" i="16"/>
  <c r="I53" i="2" l="1"/>
  <c r="H52" i="8"/>
  <c r="R52" i="8" s="1"/>
  <c r="S12" i="42"/>
  <c r="H53" i="25"/>
  <c r="R53" i="25" s="1"/>
  <c r="I54" i="24"/>
  <c r="AG12" i="42"/>
  <c r="H53" i="17"/>
  <c r="R53" i="17" s="1"/>
  <c r="I54" i="16"/>
  <c r="E12" i="42" l="1"/>
  <c r="I54" i="2"/>
  <c r="H53" i="8"/>
  <c r="R53" i="8" s="1"/>
  <c r="AK12" i="42"/>
  <c r="AM12" i="42"/>
  <c r="AF12" i="42"/>
  <c r="H54" i="25"/>
  <c r="R54" i="25" s="1"/>
  <c r="I55" i="24"/>
  <c r="H54" i="17"/>
  <c r="R54" i="17" s="1"/>
  <c r="I55" i="16"/>
  <c r="R12" i="42"/>
  <c r="Y12" i="42"/>
  <c r="W12" i="42"/>
  <c r="H54" i="8" l="1"/>
  <c r="R54" i="8" s="1"/>
  <c r="I55" i="2"/>
  <c r="F11" i="42"/>
  <c r="I12" i="42"/>
  <c r="D12" i="42"/>
  <c r="H55" i="17"/>
  <c r="R55" i="17" s="1"/>
  <c r="I56" i="16"/>
  <c r="H55" i="25"/>
  <c r="R55" i="25" s="1"/>
  <c r="I56" i="24"/>
  <c r="H55" i="8" l="1"/>
  <c r="R55" i="8" s="1"/>
  <c r="I56" i="2"/>
  <c r="H56" i="17"/>
  <c r="R56" i="17" s="1"/>
  <c r="I57" i="16"/>
  <c r="H56" i="25"/>
  <c r="R56" i="25" s="1"/>
  <c r="I57" i="24"/>
  <c r="H56" i="8" l="1"/>
  <c r="R56" i="8" s="1"/>
  <c r="I57" i="2"/>
  <c r="H57" i="25"/>
  <c r="R57" i="25" s="1"/>
  <c r="I58" i="24"/>
  <c r="H57" i="17"/>
  <c r="R57" i="17" s="1"/>
  <c r="I58" i="16"/>
  <c r="I58" i="2" l="1"/>
  <c r="H57" i="8"/>
  <c r="R57" i="8" s="1"/>
  <c r="H58" i="17"/>
  <c r="R58" i="17" s="1"/>
  <c r="I59" i="16"/>
  <c r="H58" i="25"/>
  <c r="R58" i="25" s="1"/>
  <c r="I59" i="24"/>
  <c r="H58" i="8" l="1"/>
  <c r="R58" i="8" s="1"/>
  <c r="I59" i="2"/>
  <c r="H59" i="25"/>
  <c r="R59" i="25" s="1"/>
  <c r="I60" i="24"/>
  <c r="H59" i="17"/>
  <c r="R59" i="17" s="1"/>
  <c r="I60" i="16"/>
  <c r="H59" i="8" l="1"/>
  <c r="R59" i="8" s="1"/>
  <c r="I60" i="2"/>
  <c r="H60" i="17"/>
  <c r="R60" i="17" s="1"/>
  <c r="I61" i="16"/>
  <c r="S13" i="42"/>
  <c r="H60" i="25"/>
  <c r="R60" i="25" s="1"/>
  <c r="I61" i="24"/>
  <c r="AG13" i="42"/>
  <c r="H60" i="8" l="1"/>
  <c r="R60" i="8" s="1"/>
  <c r="I61" i="2"/>
  <c r="E13" i="42"/>
  <c r="AM13" i="42"/>
  <c r="AK13" i="42"/>
  <c r="AF13" i="42"/>
  <c r="H61" i="25"/>
  <c r="R61" i="25" s="1"/>
  <c r="I62" i="24"/>
  <c r="Y13" i="42"/>
  <c r="W13" i="42"/>
  <c r="R13" i="42"/>
  <c r="H61" i="17"/>
  <c r="R61" i="17" s="1"/>
  <c r="I62" i="16"/>
  <c r="F12" i="42" l="1"/>
  <c r="I13" i="42"/>
  <c r="D13" i="42"/>
  <c r="H61" i="8"/>
  <c r="R61" i="8" s="1"/>
  <c r="I62" i="2"/>
  <c r="H62" i="17"/>
  <c r="R62" i="17" s="1"/>
  <c r="I63" i="16"/>
  <c r="H62" i="25"/>
  <c r="R62" i="25" s="1"/>
  <c r="I63" i="24"/>
  <c r="I63" i="2" l="1"/>
  <c r="H62" i="8"/>
  <c r="R62" i="8" s="1"/>
  <c r="H63" i="17"/>
  <c r="R63" i="17" s="1"/>
  <c r="I64" i="16"/>
  <c r="H63" i="25"/>
  <c r="R63" i="25" s="1"/>
  <c r="I64" i="24"/>
  <c r="H63" i="8" l="1"/>
  <c r="R63" i="8" s="1"/>
  <c r="I64" i="2"/>
  <c r="H64" i="25"/>
  <c r="R64" i="25" s="1"/>
  <c r="I65" i="24"/>
  <c r="H64" i="17"/>
  <c r="R64" i="17" s="1"/>
  <c r="I65" i="16"/>
  <c r="I65" i="2" l="1"/>
  <c r="H64" i="8"/>
  <c r="R64" i="8" s="1"/>
  <c r="H65" i="17"/>
  <c r="R65" i="17" s="1"/>
  <c r="I66" i="16"/>
  <c r="H65" i="25"/>
  <c r="R65" i="25" s="1"/>
  <c r="I66" i="24"/>
  <c r="H65" i="8" l="1"/>
  <c r="R65" i="8" s="1"/>
  <c r="I66" i="2"/>
  <c r="H66" i="17"/>
  <c r="R66" i="17" s="1"/>
  <c r="I67" i="16"/>
  <c r="H66" i="25"/>
  <c r="R66" i="25" s="1"/>
  <c r="I67" i="24"/>
  <c r="H66" i="8" l="1"/>
  <c r="R66" i="8" s="1"/>
  <c r="I67" i="2"/>
  <c r="H67" i="17"/>
  <c r="R67" i="17" s="1"/>
  <c r="I68" i="16"/>
  <c r="S14" i="42"/>
  <c r="AG14" i="42"/>
  <c r="H67" i="25"/>
  <c r="R67" i="25" s="1"/>
  <c r="I68" i="24"/>
  <c r="H67" i="8" l="1"/>
  <c r="R67" i="8" s="1"/>
  <c r="I68" i="2"/>
  <c r="E14" i="42"/>
  <c r="H68" i="17"/>
  <c r="R68" i="17" s="1"/>
  <c r="I69" i="16"/>
  <c r="H68" i="25"/>
  <c r="R68" i="25" s="1"/>
  <c r="I69" i="24"/>
  <c r="AK14" i="42"/>
  <c r="AF14" i="42"/>
  <c r="AM14" i="42"/>
  <c r="R14" i="42"/>
  <c r="W14" i="42"/>
  <c r="Y14" i="42"/>
  <c r="I14" i="42" l="1"/>
  <c r="D14" i="42"/>
  <c r="F13" i="42"/>
  <c r="I69" i="2"/>
  <c r="H68" i="8"/>
  <c r="R68" i="8" s="1"/>
  <c r="H69" i="25"/>
  <c r="R69" i="25" s="1"/>
  <c r="I70" i="24"/>
  <c r="H69" i="17"/>
  <c r="R69" i="17" s="1"/>
  <c r="I70" i="16"/>
  <c r="H69" i="8" l="1"/>
  <c r="R69" i="8" s="1"/>
  <c r="I70" i="2"/>
  <c r="H70" i="25"/>
  <c r="R70" i="25" s="1"/>
  <c r="I71" i="24"/>
  <c r="H70" i="17"/>
  <c r="R70" i="17" s="1"/>
  <c r="I71" i="16"/>
  <c r="H70" i="8" l="1"/>
  <c r="R70" i="8" s="1"/>
  <c r="I71" i="2"/>
  <c r="H71" i="17"/>
  <c r="R71" i="17" s="1"/>
  <c r="I72" i="16"/>
  <c r="H71" i="25"/>
  <c r="R71" i="25" s="1"/>
  <c r="I72" i="24"/>
  <c r="H71" i="8" l="1"/>
  <c r="R71" i="8" s="1"/>
  <c r="I72" i="2"/>
  <c r="H72" i="25"/>
  <c r="R72" i="25" s="1"/>
  <c r="I73" i="24"/>
  <c r="H72" i="17"/>
  <c r="R72" i="17" s="1"/>
  <c r="I73" i="16"/>
  <c r="I73" i="2" l="1"/>
  <c r="H72" i="8"/>
  <c r="R72" i="8" s="1"/>
  <c r="H73" i="25"/>
  <c r="R73" i="25" s="1"/>
  <c r="I74" i="24"/>
  <c r="H73" i="17"/>
  <c r="R73" i="17" s="1"/>
  <c r="I74" i="16"/>
  <c r="H73" i="8" l="1"/>
  <c r="R73" i="8" s="1"/>
  <c r="I74" i="2"/>
  <c r="H74" i="17"/>
  <c r="R74" i="17" s="1"/>
  <c r="I75" i="16"/>
  <c r="H74" i="25"/>
  <c r="R74" i="25" s="1"/>
  <c r="I75" i="24"/>
  <c r="AG15" i="42"/>
  <c r="S15" i="42"/>
  <c r="I75" i="2" l="1"/>
  <c r="H74" i="8"/>
  <c r="R74" i="8" s="1"/>
  <c r="E15" i="42"/>
  <c r="AM15" i="42"/>
  <c r="AK15" i="42"/>
  <c r="AF15" i="42"/>
  <c r="H75" i="25"/>
  <c r="R75" i="25" s="1"/>
  <c r="I76" i="24"/>
  <c r="R15" i="42"/>
  <c r="Y15" i="42"/>
  <c r="W15" i="42"/>
  <c r="H75" i="17"/>
  <c r="R75" i="17" s="1"/>
  <c r="I76" i="16"/>
  <c r="I15" i="42" l="1"/>
  <c r="F14" i="42"/>
  <c r="D15" i="42"/>
  <c r="H75" i="8"/>
  <c r="R75" i="8" s="1"/>
  <c r="I76" i="2"/>
  <c r="H76" i="25"/>
  <c r="R76" i="25" s="1"/>
  <c r="I77" i="24"/>
  <c r="H76" i="17"/>
  <c r="R76" i="17" s="1"/>
  <c r="I77" i="16"/>
  <c r="H76" i="8" l="1"/>
  <c r="R76" i="8" s="1"/>
  <c r="I77" i="2"/>
  <c r="H77" i="17"/>
  <c r="R77" i="17" s="1"/>
  <c r="I78" i="16"/>
  <c r="H77" i="25"/>
  <c r="R77" i="25" s="1"/>
  <c r="I78" i="24"/>
  <c r="H77" i="8" l="1"/>
  <c r="R77" i="8" s="1"/>
  <c r="I78" i="2"/>
  <c r="H78" i="25"/>
  <c r="R78" i="25" s="1"/>
  <c r="I79" i="24"/>
  <c r="H78" i="17"/>
  <c r="R78" i="17" s="1"/>
  <c r="I79" i="16"/>
  <c r="I79" i="2" l="1"/>
  <c r="H78" i="8"/>
  <c r="R78" i="8" s="1"/>
  <c r="H79" i="25"/>
  <c r="R79" i="25" s="1"/>
  <c r="I80" i="24"/>
  <c r="H79" i="17"/>
  <c r="R79" i="17" s="1"/>
  <c r="I80" i="16"/>
  <c r="I80" i="2" l="1"/>
  <c r="H79" i="8"/>
  <c r="R79" i="8" s="1"/>
  <c r="H80" i="17"/>
  <c r="R80" i="17" s="1"/>
  <c r="I81" i="16"/>
  <c r="H80" i="25"/>
  <c r="R80" i="25" s="1"/>
  <c r="I81" i="24"/>
  <c r="H80" i="8" l="1"/>
  <c r="R80" i="8" s="1"/>
  <c r="I81" i="2"/>
  <c r="AG16" i="42"/>
  <c r="H81" i="25"/>
  <c r="R81" i="25" s="1"/>
  <c r="I82" i="24"/>
  <c r="H81" i="17"/>
  <c r="R81" i="17" s="1"/>
  <c r="I82" i="16"/>
  <c r="S16" i="42"/>
  <c r="H81" i="8" l="1"/>
  <c r="R81" i="8" s="1"/>
  <c r="I82" i="2"/>
  <c r="E16" i="42"/>
  <c r="H82" i="25"/>
  <c r="R82" i="25" s="1"/>
  <c r="I83" i="24"/>
  <c r="W16" i="42"/>
  <c r="Y16" i="42"/>
  <c r="R16" i="42"/>
  <c r="H82" i="17"/>
  <c r="R82" i="17" s="1"/>
  <c r="I83" i="16"/>
  <c r="AF16" i="42"/>
  <c r="AM16" i="42"/>
  <c r="AK16" i="42"/>
  <c r="I16" i="42" l="1"/>
  <c r="F15" i="42"/>
  <c r="D16" i="42"/>
  <c r="I83" i="2"/>
  <c r="H82" i="8"/>
  <c r="R82" i="8" s="1"/>
  <c r="H83" i="17"/>
  <c r="R83" i="17" s="1"/>
  <c r="I84" i="16"/>
  <c r="H83" i="25"/>
  <c r="R83" i="25" s="1"/>
  <c r="I84" i="24"/>
  <c r="I84" i="2" l="1"/>
  <c r="H83" i="8"/>
  <c r="R83" i="8" s="1"/>
  <c r="H84" i="17"/>
  <c r="R84" i="17" s="1"/>
  <c r="I85" i="16"/>
  <c r="H84" i="25"/>
  <c r="R84" i="25" s="1"/>
  <c r="I85" i="24"/>
  <c r="I85" i="2" l="1"/>
  <c r="H84" i="8"/>
  <c r="R84" i="8" s="1"/>
  <c r="H85" i="25"/>
  <c r="R85" i="25" s="1"/>
  <c r="I86" i="24"/>
  <c r="H85" i="17"/>
  <c r="R85" i="17" s="1"/>
  <c r="I86" i="16"/>
  <c r="H85" i="8" l="1"/>
  <c r="R85" i="8" s="1"/>
  <c r="I86" i="2"/>
  <c r="H86" i="17"/>
  <c r="R86" i="17" s="1"/>
  <c r="I87" i="16"/>
  <c r="H86" i="25"/>
  <c r="R86" i="25" s="1"/>
  <c r="I87" i="24"/>
  <c r="I87" i="2" l="1"/>
  <c r="H86" i="8"/>
  <c r="R86" i="8" s="1"/>
  <c r="H87" i="17"/>
  <c r="R87" i="17" s="1"/>
  <c r="I88" i="16"/>
  <c r="H87" i="25"/>
  <c r="R87" i="25" s="1"/>
  <c r="I88" i="24"/>
  <c r="H87" i="8" l="1"/>
  <c r="R87" i="8" s="1"/>
  <c r="I88" i="2"/>
  <c r="H88" i="25"/>
  <c r="R88" i="25" s="1"/>
  <c r="I89" i="24"/>
  <c r="H88" i="17"/>
  <c r="R88" i="17" s="1"/>
  <c r="I89" i="16"/>
  <c r="AG17" i="42"/>
  <c r="S17" i="42"/>
  <c r="E17" i="42" l="1"/>
  <c r="H88" i="8"/>
  <c r="R88" i="8" s="1"/>
  <c r="I89" i="2"/>
  <c r="H89" i="25"/>
  <c r="R89" i="25" s="1"/>
  <c r="I90" i="24"/>
  <c r="Y17" i="42"/>
  <c r="W17" i="42"/>
  <c r="R17" i="42"/>
  <c r="AM17" i="42"/>
  <c r="AK17" i="42"/>
  <c r="AF17" i="42"/>
  <c r="H89" i="17"/>
  <c r="R89" i="17" s="1"/>
  <c r="I90" i="16"/>
  <c r="I90" i="2" l="1"/>
  <c r="H89" i="8"/>
  <c r="R89" i="8" s="1"/>
  <c r="F16" i="42"/>
  <c r="I17" i="42"/>
  <c r="D17" i="42"/>
  <c r="H90" i="17"/>
  <c r="R90" i="17" s="1"/>
  <c r="I91" i="16"/>
  <c r="I91" i="24"/>
  <c r="H90" i="25"/>
  <c r="R90" i="25" s="1"/>
  <c r="H90" i="8" l="1"/>
  <c r="R90" i="8" s="1"/>
  <c r="I91" i="2"/>
  <c r="H91" i="17"/>
  <c r="R91" i="17" s="1"/>
  <c r="I92" i="16"/>
  <c r="H91" i="25"/>
  <c r="R91" i="25" s="1"/>
  <c r="I92" i="24"/>
  <c r="H91" i="8" l="1"/>
  <c r="R91" i="8" s="1"/>
  <c r="I92" i="2"/>
  <c r="H92" i="25"/>
  <c r="R92" i="25" s="1"/>
  <c r="I93" i="24"/>
  <c r="H92" i="17"/>
  <c r="R92" i="17" s="1"/>
  <c r="I93" i="16"/>
  <c r="H92" i="8" l="1"/>
  <c r="R92" i="8" s="1"/>
  <c r="I93" i="2"/>
  <c r="H93" i="17"/>
  <c r="R93" i="17" s="1"/>
  <c r="I94" i="16"/>
  <c r="H93" i="25"/>
  <c r="R93" i="25" s="1"/>
  <c r="I94" i="24"/>
  <c r="I94" i="2" l="1"/>
  <c r="H93" i="8"/>
  <c r="R93" i="8" s="1"/>
  <c r="H94" i="17"/>
  <c r="I95" i="16"/>
  <c r="H94" i="25"/>
  <c r="I95" i="24"/>
  <c r="I95" i="2" l="1"/>
  <c r="H94" i="8"/>
  <c r="R94" i="25"/>
  <c r="H95" i="17"/>
  <c r="R95" i="17" s="1"/>
  <c r="I96" i="16"/>
  <c r="R94" i="17"/>
  <c r="H95" i="25"/>
  <c r="R95" i="25" s="1"/>
  <c r="I96" i="24"/>
  <c r="R94" i="8" l="1"/>
  <c r="I96" i="2"/>
  <c r="H95" i="8"/>
  <c r="R95" i="8" s="1"/>
  <c r="S18" i="42"/>
  <c r="H96" i="17"/>
  <c r="I97" i="16"/>
  <c r="H96" i="25"/>
  <c r="R96" i="25" s="1"/>
  <c r="I97" i="24"/>
  <c r="AG18" i="42"/>
  <c r="R96" i="17" l="1"/>
  <c r="E18" i="42"/>
  <c r="I97" i="2"/>
  <c r="H96" i="8"/>
  <c r="AF18" i="42"/>
  <c r="AK18" i="42"/>
  <c r="AM18" i="42"/>
  <c r="H97" i="25"/>
  <c r="I98" i="24"/>
  <c r="Y18" i="42"/>
  <c r="W18" i="42"/>
  <c r="R18" i="42"/>
  <c r="H97" i="17"/>
  <c r="R97" i="17" s="1"/>
  <c r="I98" i="16"/>
  <c r="R97" i="25" l="1"/>
  <c r="R96" i="8"/>
  <c r="D18" i="42"/>
  <c r="I18" i="42"/>
  <c r="F17" i="42"/>
  <c r="H97" i="8"/>
  <c r="I98" i="2"/>
  <c r="H98" i="17"/>
  <c r="R98" i="17" s="1"/>
  <c r="I99" i="16"/>
  <c r="I99" i="24"/>
  <c r="H98" i="25"/>
  <c r="R98" i="25" s="1"/>
  <c r="R97" i="8" l="1"/>
  <c r="H98" i="8"/>
  <c r="R98" i="8" s="1"/>
  <c r="I99" i="2"/>
  <c r="H99" i="17"/>
  <c r="R99" i="17" s="1"/>
  <c r="I100" i="16"/>
  <c r="H99" i="25"/>
  <c r="R99" i="25" s="1"/>
  <c r="I100" i="24"/>
  <c r="H99" i="8" l="1"/>
  <c r="I100" i="2"/>
  <c r="H100" i="25"/>
  <c r="R100" i="25" s="1"/>
  <c r="I101" i="24"/>
  <c r="H100" i="17"/>
  <c r="R100" i="17" s="1"/>
  <c r="I101" i="16"/>
  <c r="R99" i="8" l="1"/>
  <c r="I101" i="2"/>
  <c r="H100" i="8"/>
  <c r="H101" i="25"/>
  <c r="R101" i="25" s="1"/>
  <c r="I102" i="24"/>
  <c r="I102" i="16"/>
  <c r="H101" i="17"/>
  <c r="R101" i="17" s="1"/>
  <c r="R100" i="8" l="1"/>
  <c r="I102" i="2"/>
  <c r="H101" i="8"/>
  <c r="AG19" i="42"/>
  <c r="S19" i="42"/>
  <c r="H102" i="17"/>
  <c r="R102" i="17" s="1"/>
  <c r="I103" i="16"/>
  <c r="H102" i="25"/>
  <c r="R102" i="25" s="1"/>
  <c r="I103" i="24"/>
  <c r="R101" i="8" l="1"/>
  <c r="E19" i="42" s="1"/>
  <c r="H102" i="8"/>
  <c r="I103" i="2"/>
  <c r="R19" i="42"/>
  <c r="W19" i="42"/>
  <c r="Y19" i="42"/>
  <c r="H103" i="25"/>
  <c r="R103" i="25" s="1"/>
  <c r="I104" i="24"/>
  <c r="H103" i="17"/>
  <c r="R103" i="17" s="1"/>
  <c r="I104" i="16"/>
  <c r="AF19" i="42"/>
  <c r="AM19" i="42"/>
  <c r="AK19" i="42"/>
  <c r="R102" i="8" l="1"/>
  <c r="I104" i="2"/>
  <c r="H103" i="8"/>
  <c r="R103" i="8" s="1"/>
  <c r="D19" i="42"/>
  <c r="I19" i="42"/>
  <c r="F18" i="42"/>
  <c r="H104" i="25"/>
  <c r="R104" i="25" s="1"/>
  <c r="I105" i="24"/>
  <c r="H104" i="17"/>
  <c r="R104" i="17" s="1"/>
  <c r="I105" i="16"/>
  <c r="H104" i="8" l="1"/>
  <c r="R104" i="8" s="1"/>
  <c r="I105" i="2"/>
  <c r="H105" i="17"/>
  <c r="R105" i="17" s="1"/>
  <c r="I106" i="16"/>
  <c r="H105" i="25"/>
  <c r="R105" i="25" s="1"/>
  <c r="I106" i="24"/>
  <c r="H105" i="8" l="1"/>
  <c r="R105" i="8" s="1"/>
  <c r="I106" i="2"/>
  <c r="H106" i="17"/>
  <c r="R106" i="17" s="1"/>
  <c r="I107" i="16"/>
  <c r="H106" i="25"/>
  <c r="R106" i="25" s="1"/>
  <c r="I107" i="24"/>
  <c r="H106" i="8" l="1"/>
  <c r="R106" i="8" s="1"/>
  <c r="I107" i="2"/>
  <c r="H107" i="25"/>
  <c r="R107" i="25" s="1"/>
  <c r="I108" i="24"/>
  <c r="H107" i="17"/>
  <c r="R107" i="17" s="1"/>
  <c r="I108" i="16"/>
  <c r="H107" i="8" l="1"/>
  <c r="R107" i="8" s="1"/>
  <c r="I108" i="2"/>
  <c r="H108" i="17"/>
  <c r="R108" i="17" s="1"/>
  <c r="I109" i="16"/>
  <c r="H108" i="25"/>
  <c r="R108" i="25" s="1"/>
  <c r="I109" i="24"/>
  <c r="H108" i="8" l="1"/>
  <c r="R108" i="8" s="1"/>
  <c r="I109" i="2"/>
  <c r="H109" i="25"/>
  <c r="R109" i="25" s="1"/>
  <c r="I110" i="24"/>
  <c r="AG20" i="42"/>
  <c r="H109" i="17"/>
  <c r="R109" i="17" s="1"/>
  <c r="I110" i="16"/>
  <c r="S20" i="42"/>
  <c r="H109" i="8" l="1"/>
  <c r="R109" i="8" s="1"/>
  <c r="I110" i="2"/>
  <c r="E20" i="42"/>
  <c r="AK20" i="42"/>
  <c r="AM20" i="42"/>
  <c r="AF20" i="42"/>
  <c r="Y20" i="42"/>
  <c r="W20" i="42"/>
  <c r="R20" i="42"/>
  <c r="H110" i="25"/>
  <c r="R110" i="25" s="1"/>
  <c r="I111" i="24"/>
  <c r="I111" i="16"/>
  <c r="H110" i="17"/>
  <c r="R110" i="17" s="1"/>
  <c r="I20" i="42" l="1"/>
  <c r="D20" i="42"/>
  <c r="F19" i="42"/>
  <c r="H110" i="8"/>
  <c r="R110" i="8" s="1"/>
  <c r="I111" i="2"/>
  <c r="I112" i="24"/>
  <c r="H111" i="25"/>
  <c r="R111" i="25" s="1"/>
  <c r="H111" i="17"/>
  <c r="R111" i="17" s="1"/>
  <c r="I112" i="16"/>
  <c r="H111" i="8" l="1"/>
  <c r="R111" i="8" s="1"/>
  <c r="I112" i="2"/>
  <c r="H112" i="17"/>
  <c r="R112" i="17" s="1"/>
  <c r="I113" i="16"/>
  <c r="H112" i="25"/>
  <c r="R112" i="25" s="1"/>
  <c r="I113" i="24"/>
  <c r="I113" i="2" l="1"/>
  <c r="H112" i="8"/>
  <c r="R112" i="8" s="1"/>
  <c r="H113" i="17"/>
  <c r="R113" i="17" s="1"/>
  <c r="I114" i="16"/>
  <c r="H113" i="25"/>
  <c r="R113" i="25" s="1"/>
  <c r="I114" i="24"/>
  <c r="H113" i="8" l="1"/>
  <c r="R113" i="8" s="1"/>
  <c r="I114" i="2"/>
  <c r="H114" i="25"/>
  <c r="R114" i="25" s="1"/>
  <c r="I115" i="24"/>
  <c r="H114" i="17"/>
  <c r="R114" i="17" s="1"/>
  <c r="I115" i="16"/>
  <c r="H114" i="8" l="1"/>
  <c r="R114" i="8" s="1"/>
  <c r="I115" i="2"/>
  <c r="I116" i="16"/>
  <c r="H115" i="17"/>
  <c r="R115" i="17" s="1"/>
  <c r="H115" i="25"/>
  <c r="R115" i="25" s="1"/>
  <c r="I116" i="24"/>
  <c r="H115" i="8" l="1"/>
  <c r="R115" i="8" s="1"/>
  <c r="I116" i="2"/>
  <c r="S21" i="42"/>
  <c r="H116" i="17"/>
  <c r="R116" i="17" s="1"/>
  <c r="I117" i="16"/>
  <c r="H116" i="25"/>
  <c r="R116" i="25" s="1"/>
  <c r="I117" i="24"/>
  <c r="AG21" i="42"/>
  <c r="H116" i="8" l="1"/>
  <c r="R116" i="8" s="1"/>
  <c r="I117" i="2"/>
  <c r="E21" i="42"/>
  <c r="H117" i="17"/>
  <c r="R117" i="17" s="1"/>
  <c r="I118" i="16"/>
  <c r="W21" i="42"/>
  <c r="Y21" i="42"/>
  <c r="R21" i="42"/>
  <c r="AM21" i="42"/>
  <c r="AK21" i="42"/>
  <c r="AF21" i="42"/>
  <c r="H117" i="25"/>
  <c r="R117" i="25" s="1"/>
  <c r="I118" i="24"/>
  <c r="I21" i="42" l="1"/>
  <c r="D21" i="42"/>
  <c r="F20" i="42"/>
  <c r="H117" i="8"/>
  <c r="R117" i="8" s="1"/>
  <c r="I118" i="2"/>
  <c r="H118" i="25"/>
  <c r="R118" i="25" s="1"/>
  <c r="I119" i="24"/>
  <c r="H118" i="17"/>
  <c r="R118" i="17" s="1"/>
  <c r="I119" i="16"/>
  <c r="I119" i="2" l="1"/>
  <c r="H118" i="8"/>
  <c r="R118" i="8" s="1"/>
  <c r="H119" i="17"/>
  <c r="R119" i="17" s="1"/>
  <c r="I120" i="16"/>
  <c r="I120" i="24"/>
  <c r="H119" i="25"/>
  <c r="R119" i="25" s="1"/>
  <c r="H119" i="8" l="1"/>
  <c r="R119" i="8" s="1"/>
  <c r="I120" i="2"/>
  <c r="H120" i="17"/>
  <c r="R120" i="17" s="1"/>
  <c r="I121" i="16"/>
  <c r="H120" i="25"/>
  <c r="R120" i="25" s="1"/>
  <c r="I121" i="24"/>
  <c r="I121" i="2" l="1"/>
  <c r="H120" i="8"/>
  <c r="R120" i="8" s="1"/>
  <c r="H121" i="25"/>
  <c r="R121" i="25" s="1"/>
  <c r="I122" i="24"/>
  <c r="H121" i="17"/>
  <c r="R121" i="17" s="1"/>
  <c r="I122" i="16"/>
  <c r="H121" i="8" l="1"/>
  <c r="R121" i="8" s="1"/>
  <c r="I122" i="2"/>
  <c r="H122" i="17"/>
  <c r="R122" i="17" s="1"/>
  <c r="I123" i="16"/>
  <c r="H122" i="25"/>
  <c r="R122" i="25" s="1"/>
  <c r="I123" i="24"/>
  <c r="I123" i="2" l="1"/>
  <c r="H122" i="8"/>
  <c r="R122" i="8" s="1"/>
  <c r="S22" i="42"/>
  <c r="H123" i="17"/>
  <c r="R123" i="17" s="1"/>
  <c r="I124" i="16"/>
  <c r="H123" i="25"/>
  <c r="R123" i="25" s="1"/>
  <c r="I124" i="24"/>
  <c r="AG22" i="42"/>
  <c r="E22" i="42" l="1"/>
  <c r="I124" i="2"/>
  <c r="H123" i="8"/>
  <c r="R123" i="8" s="1"/>
  <c r="H124" i="17"/>
  <c r="R124" i="17" s="1"/>
  <c r="I125" i="16"/>
  <c r="AF22" i="42"/>
  <c r="AM22" i="42"/>
  <c r="AK22" i="42"/>
  <c r="H124" i="25"/>
  <c r="R124" i="25" s="1"/>
  <c r="I125" i="24"/>
  <c r="R22" i="42"/>
  <c r="Y22" i="42"/>
  <c r="W22" i="42"/>
  <c r="H124" i="8" l="1"/>
  <c r="R124" i="8" s="1"/>
  <c r="I125" i="2"/>
  <c r="F21" i="42"/>
  <c r="D22" i="42"/>
  <c r="I22" i="42"/>
  <c r="H125" i="25"/>
  <c r="R125" i="25" s="1"/>
  <c r="I126" i="24"/>
  <c r="H125" i="17"/>
  <c r="R125" i="17" s="1"/>
  <c r="I126" i="16"/>
  <c r="I126" i="2" l="1"/>
  <c r="H125" i="8"/>
  <c r="R125" i="8" s="1"/>
  <c r="H126" i="25"/>
  <c r="R126" i="25" s="1"/>
  <c r="I127" i="24"/>
  <c r="H126" i="17"/>
  <c r="R126" i="17" s="1"/>
  <c r="I127" i="16"/>
  <c r="H126" i="8" l="1"/>
  <c r="R126" i="8" s="1"/>
  <c r="I127" i="2"/>
  <c r="H127" i="17"/>
  <c r="R127" i="17" s="1"/>
  <c r="I128" i="16"/>
  <c r="H127" i="25"/>
  <c r="R127" i="25" s="1"/>
  <c r="I128" i="24"/>
  <c r="I128" i="2" l="1"/>
  <c r="H127" i="8"/>
  <c r="R127" i="8" s="1"/>
  <c r="H128" i="25"/>
  <c r="R128" i="25" s="1"/>
  <c r="I129" i="24"/>
  <c r="H128" i="17"/>
  <c r="R128" i="17" s="1"/>
  <c r="I129" i="16"/>
  <c r="H128" i="8" l="1"/>
  <c r="R128" i="8" s="1"/>
  <c r="I129" i="2"/>
  <c r="H129" i="25"/>
  <c r="R129" i="25" s="1"/>
  <c r="I130" i="24"/>
  <c r="H129" i="17"/>
  <c r="R129" i="17" s="1"/>
  <c r="I130" i="16"/>
  <c r="H129" i="8" l="1"/>
  <c r="R129" i="8" s="1"/>
  <c r="I130" i="2"/>
  <c r="H130" i="17"/>
  <c r="R130" i="17" s="1"/>
  <c r="I131" i="16"/>
  <c r="H130" i="25"/>
  <c r="R130" i="25" s="1"/>
  <c r="I131" i="24"/>
  <c r="S23" i="42"/>
  <c r="AG23" i="42"/>
  <c r="H130" i="8" l="1"/>
  <c r="R130" i="8" s="1"/>
  <c r="I131" i="2"/>
  <c r="E23" i="42"/>
  <c r="H131" i="17"/>
  <c r="R131" i="17" s="1"/>
  <c r="I132" i="16"/>
  <c r="AF23" i="42"/>
  <c r="AK23" i="42"/>
  <c r="AM23" i="42"/>
  <c r="R23" i="42"/>
  <c r="Y23" i="42"/>
  <c r="W23" i="42"/>
  <c r="H131" i="25"/>
  <c r="R131" i="25" s="1"/>
  <c r="I132" i="24"/>
  <c r="I23" i="42" l="1"/>
  <c r="D23" i="42"/>
  <c r="F22" i="42"/>
  <c r="H131" i="8"/>
  <c r="R131" i="8" s="1"/>
  <c r="I132" i="2"/>
  <c r="H132" i="25"/>
  <c r="R132" i="25" s="1"/>
  <c r="I133" i="24"/>
  <c r="H132" i="17"/>
  <c r="R132" i="17" s="1"/>
  <c r="I133" i="16"/>
  <c r="H132" i="8" l="1"/>
  <c r="R132" i="8" s="1"/>
  <c r="I133" i="2"/>
  <c r="H133" i="17"/>
  <c r="R133" i="17" s="1"/>
  <c r="I134" i="16"/>
  <c r="H133" i="25"/>
  <c r="R133" i="25" s="1"/>
  <c r="I134" i="24"/>
  <c r="I134" i="2" l="1"/>
  <c r="H133" i="8"/>
  <c r="R133" i="8" s="1"/>
  <c r="H134" i="17"/>
  <c r="R134" i="17" s="1"/>
  <c r="I135" i="16"/>
  <c r="H134" i="25"/>
  <c r="R134" i="25" s="1"/>
  <c r="I135" i="24"/>
  <c r="I135" i="2" l="1"/>
  <c r="H134" i="8"/>
  <c r="R134" i="8" s="1"/>
  <c r="H135" i="25"/>
  <c r="R135" i="25" s="1"/>
  <c r="I136" i="24"/>
  <c r="H135" i="17"/>
  <c r="R135" i="17" s="1"/>
  <c r="I136" i="16"/>
  <c r="H135" i="8" l="1"/>
  <c r="R135" i="8" s="1"/>
  <c r="I136" i="2"/>
  <c r="I137" i="16"/>
  <c r="H136" i="17"/>
  <c r="R136" i="17" s="1"/>
  <c r="H136" i="25"/>
  <c r="R136" i="25" s="1"/>
  <c r="I137" i="24"/>
  <c r="H136" i="8" l="1"/>
  <c r="R136" i="8" s="1"/>
  <c r="I137" i="2"/>
  <c r="H137" i="25"/>
  <c r="R137" i="25" s="1"/>
  <c r="I138" i="24"/>
  <c r="S24" i="42"/>
  <c r="AG24" i="42"/>
  <c r="H137" i="17"/>
  <c r="R137" i="17" s="1"/>
  <c r="I138" i="16"/>
  <c r="H137" i="8" l="1"/>
  <c r="R137" i="8" s="1"/>
  <c r="I138" i="2"/>
  <c r="E24" i="42"/>
  <c r="H138" i="25"/>
  <c r="R138" i="25" s="1"/>
  <c r="I139" i="24"/>
  <c r="AF24" i="42"/>
  <c r="AM24" i="42"/>
  <c r="AK24" i="42"/>
  <c r="R24" i="42"/>
  <c r="W24" i="42"/>
  <c r="Y24" i="42"/>
  <c r="H138" i="17"/>
  <c r="R138" i="17" s="1"/>
  <c r="I139" i="16"/>
  <c r="I24" i="42" l="1"/>
  <c r="D24" i="42"/>
  <c r="F23" i="42"/>
  <c r="I139" i="2"/>
  <c r="H138" i="8"/>
  <c r="R138" i="8" s="1"/>
  <c r="H139" i="17"/>
  <c r="R139" i="17" s="1"/>
  <c r="I140" i="16"/>
  <c r="H139" i="25"/>
  <c r="R139" i="25" s="1"/>
  <c r="I140" i="24"/>
  <c r="H139" i="8" l="1"/>
  <c r="R139" i="8" s="1"/>
  <c r="I140" i="2"/>
  <c r="I141" i="24"/>
  <c r="H140" i="25"/>
  <c r="R140" i="25" s="1"/>
  <c r="H140" i="17"/>
  <c r="R140" i="17" s="1"/>
  <c r="I141" i="16"/>
  <c r="H140" i="8" l="1"/>
  <c r="I141" i="2"/>
  <c r="I142" i="24"/>
  <c r="H141" i="25"/>
  <c r="R141" i="25" s="1"/>
  <c r="H141" i="17"/>
  <c r="R141" i="17" s="1"/>
  <c r="I142" i="16"/>
  <c r="H141" i="8" l="1"/>
  <c r="R141" i="8" s="1"/>
  <c r="I142" i="2"/>
  <c r="R140" i="8"/>
  <c r="I143" i="16"/>
  <c r="H142" i="17"/>
  <c r="R142" i="17" s="1"/>
  <c r="H142" i="25"/>
  <c r="R142" i="25" s="1"/>
  <c r="I143" i="24"/>
  <c r="H142" i="8" l="1"/>
  <c r="I143" i="2"/>
  <c r="H143" i="25"/>
  <c r="R143" i="25" s="1"/>
  <c r="I144" i="24"/>
  <c r="H143" i="17"/>
  <c r="R143" i="17" s="1"/>
  <c r="I144" i="16"/>
  <c r="R142" i="8" l="1"/>
  <c r="I144" i="2"/>
  <c r="H143" i="8"/>
  <c r="R143" i="8" s="1"/>
  <c r="S25" i="42"/>
  <c r="H144" i="17"/>
  <c r="R144" i="17" s="1"/>
  <c r="I145" i="16"/>
  <c r="H144" i="25"/>
  <c r="R144" i="25" s="1"/>
  <c r="I145" i="24"/>
  <c r="AG25" i="42"/>
  <c r="E25" i="42" l="1"/>
  <c r="H144" i="8"/>
  <c r="R144" i="8" s="1"/>
  <c r="I145" i="2"/>
  <c r="H145" i="17"/>
  <c r="R145" i="17" s="1"/>
  <c r="I146" i="16"/>
  <c r="R25" i="42"/>
  <c r="W25" i="42"/>
  <c r="Y25" i="42"/>
  <c r="AM25" i="42"/>
  <c r="AK25" i="42"/>
  <c r="AF25" i="42"/>
  <c r="H145" i="25"/>
  <c r="R145" i="25" s="1"/>
  <c r="I146" i="24"/>
  <c r="I146" i="2" l="1"/>
  <c r="H145" i="8"/>
  <c r="R145" i="8" s="1"/>
  <c r="I25" i="42"/>
  <c r="D25" i="42"/>
  <c r="F24" i="42"/>
  <c r="H146" i="25"/>
  <c r="R146" i="25" s="1"/>
  <c r="I147" i="24"/>
  <c r="H146" i="17"/>
  <c r="R146" i="17" s="1"/>
  <c r="I147" i="16"/>
  <c r="I147" i="2" l="1"/>
  <c r="H146" i="8"/>
  <c r="H147" i="17"/>
  <c r="R147" i="17" s="1"/>
  <c r="I148" i="16"/>
  <c r="H147" i="25"/>
  <c r="R147" i="25" s="1"/>
  <c r="I148" i="24"/>
  <c r="R146" i="8" l="1"/>
  <c r="H147" i="8"/>
  <c r="R147" i="8" s="1"/>
  <c r="I148" i="2"/>
  <c r="H148" i="25"/>
  <c r="R148" i="25" s="1"/>
  <c r="I149" i="24"/>
  <c r="H148" i="17"/>
  <c r="R148" i="17" s="1"/>
  <c r="I149" i="16"/>
  <c r="I149" i="2" l="1"/>
  <c r="H148" i="8"/>
  <c r="R148" i="8" s="1"/>
  <c r="H149" i="17"/>
  <c r="R149" i="17" s="1"/>
  <c r="I150" i="16"/>
  <c r="H149" i="25"/>
  <c r="R149" i="25" s="1"/>
  <c r="I150" i="24"/>
  <c r="H149" i="8" l="1"/>
  <c r="R149" i="8" s="1"/>
  <c r="I150" i="2"/>
  <c r="H150" i="25"/>
  <c r="R150" i="25" s="1"/>
  <c r="I151" i="24"/>
  <c r="H150" i="17"/>
  <c r="R150" i="17" s="1"/>
  <c r="I151" i="16"/>
  <c r="I151" i="2" l="1"/>
  <c r="H150" i="8"/>
  <c r="R150" i="8" s="1"/>
  <c r="H151" i="17"/>
  <c r="R151" i="17" s="1"/>
  <c r="I152" i="16"/>
  <c r="I152" i="24"/>
  <c r="H151" i="25"/>
  <c r="R151" i="25" s="1"/>
  <c r="AG26" i="42"/>
  <c r="S26" i="42"/>
  <c r="E26" i="42" l="1"/>
  <c r="I152" i="2"/>
  <c r="H151" i="8"/>
  <c r="R151" i="8" s="1"/>
  <c r="Y26" i="42"/>
  <c r="W26" i="42"/>
  <c r="R26" i="42"/>
  <c r="AK26" i="42"/>
  <c r="AM26" i="42"/>
  <c r="AF26" i="42"/>
  <c r="H152" i="25"/>
  <c r="R152" i="25" s="1"/>
  <c r="I153" i="24"/>
  <c r="H152" i="17"/>
  <c r="R152" i="17" s="1"/>
  <c r="I153" i="16"/>
  <c r="I153" i="2" l="1"/>
  <c r="H152" i="8"/>
  <c r="R152" i="8" s="1"/>
  <c r="F25" i="42"/>
  <c r="I26" i="42"/>
  <c r="D26" i="42"/>
  <c r="H153" i="25"/>
  <c r="R153" i="25" s="1"/>
  <c r="I154" i="24"/>
  <c r="H153" i="17"/>
  <c r="R153" i="17" s="1"/>
  <c r="I154" i="16"/>
  <c r="H153" i="8" l="1"/>
  <c r="R153" i="8" s="1"/>
  <c r="I154" i="2"/>
  <c r="H154" i="17"/>
  <c r="R154" i="17" s="1"/>
  <c r="I155" i="16"/>
  <c r="H154" i="25"/>
  <c r="R154" i="25" s="1"/>
  <c r="I155" i="24"/>
  <c r="H154" i="8" l="1"/>
  <c r="R154" i="8" s="1"/>
  <c r="I155" i="2"/>
  <c r="H155" i="25"/>
  <c r="R155" i="25" s="1"/>
  <c r="I156" i="24"/>
  <c r="H155" i="17"/>
  <c r="R155" i="17" s="1"/>
  <c r="I156" i="16"/>
  <c r="I156" i="2" l="1"/>
  <c r="H155" i="8"/>
  <c r="R155" i="8" s="1"/>
  <c r="H156" i="25"/>
  <c r="R156" i="25" s="1"/>
  <c r="I157" i="24"/>
  <c r="H156" i="17"/>
  <c r="R156" i="17" s="1"/>
  <c r="I157" i="16"/>
  <c r="I157" i="2" l="1"/>
  <c r="H156" i="8"/>
  <c r="R156" i="8" s="1"/>
  <c r="H157" i="17"/>
  <c r="R157" i="17" s="1"/>
  <c r="I158" i="16"/>
  <c r="H157" i="25"/>
  <c r="R157" i="25" s="1"/>
  <c r="I158" i="24"/>
  <c r="H157" i="8" l="1"/>
  <c r="R157" i="8" s="1"/>
  <c r="I158" i="2"/>
  <c r="H158" i="25"/>
  <c r="R158" i="25" s="1"/>
  <c r="I159" i="24"/>
  <c r="S27" i="42"/>
  <c r="H158" i="17"/>
  <c r="R158" i="17" s="1"/>
  <c r="I159" i="16"/>
  <c r="AG27" i="42"/>
  <c r="H158" i="8" l="1"/>
  <c r="R158" i="8" s="1"/>
  <c r="I159" i="2"/>
  <c r="E27" i="42"/>
  <c r="H159" i="17"/>
  <c r="R159" i="17" s="1"/>
  <c r="I160" i="16"/>
  <c r="R27" i="42"/>
  <c r="W27" i="42"/>
  <c r="Y27" i="42"/>
  <c r="AF27" i="42"/>
  <c r="AK27" i="42"/>
  <c r="AM27" i="42"/>
  <c r="I160" i="24"/>
  <c r="H159" i="25"/>
  <c r="R159" i="25" s="1"/>
  <c r="F26" i="42" l="1"/>
  <c r="D27" i="42"/>
  <c r="I27" i="42"/>
  <c r="H159" i="8"/>
  <c r="R159" i="8" s="1"/>
  <c r="I160" i="2"/>
  <c r="H160" i="17"/>
  <c r="R160" i="17" s="1"/>
  <c r="I161" i="16"/>
  <c r="H160" i="25"/>
  <c r="R160" i="25" s="1"/>
  <c r="I161" i="24"/>
  <c r="H160" i="8" l="1"/>
  <c r="R160" i="8" s="1"/>
  <c r="I161" i="2"/>
  <c r="H161" i="17"/>
  <c r="R161" i="17" s="1"/>
  <c r="I162" i="16"/>
  <c r="H161" i="25"/>
  <c r="R161" i="25" s="1"/>
  <c r="I162" i="24"/>
  <c r="H161" i="8" l="1"/>
  <c r="R161" i="8" s="1"/>
  <c r="I162" i="2"/>
  <c r="H162" i="25"/>
  <c r="R162" i="25" s="1"/>
  <c r="I163" i="24"/>
  <c r="I163" i="16"/>
  <c r="H162" i="17"/>
  <c r="R162" i="17" s="1"/>
  <c r="H162" i="8" l="1"/>
  <c r="R162" i="8" s="1"/>
  <c r="I163" i="2"/>
  <c r="H163" i="17"/>
  <c r="I164" i="16"/>
  <c r="H163" i="25"/>
  <c r="I164" i="24"/>
  <c r="R163" i="25" l="1"/>
  <c r="R163" i="17"/>
  <c r="H163" i="8"/>
  <c r="I164" i="2"/>
  <c r="I165" i="16"/>
  <c r="H164" i="17"/>
  <c r="R164" i="17" s="1"/>
  <c r="H164" i="25"/>
  <c r="R164" i="25" s="1"/>
  <c r="I165" i="24"/>
  <c r="H164" i="8" l="1"/>
  <c r="R164" i="8" s="1"/>
  <c r="I165" i="2"/>
  <c r="R163" i="8"/>
  <c r="I166" i="24"/>
  <c r="H165" i="25"/>
  <c r="R165" i="25" s="1"/>
  <c r="AG28" i="42"/>
  <c r="S28" i="42"/>
  <c r="I166" i="16"/>
  <c r="H165" i="17"/>
  <c r="R165" i="17" s="1"/>
  <c r="H165" i="8" l="1"/>
  <c r="I166" i="2"/>
  <c r="E28" i="42"/>
  <c r="H166" i="17"/>
  <c r="R166" i="17" s="1"/>
  <c r="I167" i="16"/>
  <c r="W28" i="42"/>
  <c r="R28" i="42"/>
  <c r="Y28" i="42"/>
  <c r="AF28" i="42"/>
  <c r="AM28" i="42"/>
  <c r="AK28" i="42"/>
  <c r="I167" i="24"/>
  <c r="H166" i="25"/>
  <c r="R166" i="25" s="1"/>
  <c r="R165" i="8" l="1"/>
  <c r="I167" i="2"/>
  <c r="H166" i="8"/>
  <c r="R166" i="8" s="1"/>
  <c r="I28" i="42"/>
  <c r="F27" i="42"/>
  <c r="D28" i="42"/>
  <c r="H167" i="17"/>
  <c r="R167" i="17" s="1"/>
  <c r="I168" i="16"/>
  <c r="H167" i="25"/>
  <c r="R167" i="25" s="1"/>
  <c r="I168" i="24"/>
  <c r="H167" i="8" l="1"/>
  <c r="R167" i="8" s="1"/>
  <c r="I168" i="2"/>
  <c r="H168" i="25"/>
  <c r="R168" i="25" s="1"/>
  <c r="I169" i="24"/>
  <c r="H168" i="17"/>
  <c r="R168" i="17" s="1"/>
  <c r="I169" i="16"/>
  <c r="H168" i="8" l="1"/>
  <c r="I169" i="2"/>
  <c r="H169" i="25"/>
  <c r="I170" i="24"/>
  <c r="I170" i="16"/>
  <c r="H169" i="17"/>
  <c r="I171" i="24" l="1"/>
  <c r="H170" i="25"/>
  <c r="R170" i="25" s="1"/>
  <c r="I171" i="16"/>
  <c r="H170" i="17"/>
  <c r="R170" i="17" s="1"/>
  <c r="I170" i="2"/>
  <c r="H169" i="8"/>
  <c r="R168" i="8"/>
  <c r="R169" i="17"/>
  <c r="R169" i="25"/>
  <c r="I171" i="2" l="1"/>
  <c r="H170" i="8"/>
  <c r="R170" i="8" s="1"/>
  <c r="I172" i="16"/>
  <c r="H171" i="17"/>
  <c r="I172" i="24"/>
  <c r="H171" i="25"/>
  <c r="R169" i="8"/>
  <c r="R171" i="25" l="1"/>
  <c r="I173" i="24"/>
  <c r="H172" i="25"/>
  <c r="R172" i="25" s="1"/>
  <c r="R171" i="17"/>
  <c r="I173" i="16"/>
  <c r="H172" i="17"/>
  <c r="R172" i="17" s="1"/>
  <c r="I172" i="2"/>
  <c r="H171" i="8"/>
  <c r="R171" i="8" l="1"/>
  <c r="S29" i="42"/>
  <c r="I173" i="2"/>
  <c r="H172" i="8"/>
  <c r="R172" i="8" s="1"/>
  <c r="I174" i="24"/>
  <c r="H173" i="25"/>
  <c r="I174" i="16"/>
  <c r="H173" i="17"/>
  <c r="AG29" i="42"/>
  <c r="AK29" i="42" l="1"/>
  <c r="AM29" i="42"/>
  <c r="AF29" i="42"/>
  <c r="I174" i="2"/>
  <c r="H173" i="8"/>
  <c r="R173" i="8" s="1"/>
  <c r="Y29" i="42"/>
  <c r="W29" i="42"/>
  <c r="R29" i="42"/>
  <c r="R173" i="17"/>
  <c r="R173" i="25"/>
  <c r="E29" i="42"/>
  <c r="I175" i="16"/>
  <c r="H174" i="17"/>
  <c r="R174" i="17" s="1"/>
  <c r="I175" i="24"/>
  <c r="H174" i="25"/>
  <c r="R174" i="25" s="1"/>
  <c r="G49" i="34"/>
  <c r="E49" i="34" s="1"/>
  <c r="F28" i="42" l="1"/>
  <c r="I29" i="42"/>
  <c r="D29" i="42"/>
  <c r="I175" i="2"/>
  <c r="H174" i="8"/>
  <c r="I176" i="24"/>
  <c r="H175" i="25"/>
  <c r="I176" i="16"/>
  <c r="H175" i="17"/>
  <c r="G54" i="34"/>
  <c r="G55" i="34"/>
  <c r="R175" i="25" l="1"/>
  <c r="I177" i="24"/>
  <c r="H176" i="25"/>
  <c r="R176" i="25" s="1"/>
  <c r="R175" i="17"/>
  <c r="R174" i="8"/>
  <c r="I177" i="16"/>
  <c r="H176" i="17"/>
  <c r="I176" i="2"/>
  <c r="H175" i="8"/>
  <c r="R175" i="8" s="1"/>
  <c r="I52" i="34"/>
  <c r="F52" i="34"/>
  <c r="G53" i="34"/>
  <c r="F54" i="34"/>
  <c r="F53" i="34"/>
  <c r="J52" i="34"/>
  <c r="G52" i="34"/>
  <c r="I177" i="2" l="1"/>
  <c r="H176" i="8"/>
  <c r="R176" i="17"/>
  <c r="I178" i="24"/>
  <c r="H177" i="25"/>
  <c r="I178" i="16"/>
  <c r="H177" i="17"/>
  <c r="I24" i="13"/>
  <c r="H24" i="13"/>
  <c r="I26" i="13"/>
  <c r="H26" i="13"/>
  <c r="I32" i="13"/>
  <c r="H32" i="13"/>
  <c r="E52" i="34"/>
  <c r="I21" i="13"/>
  <c r="H21" i="13"/>
  <c r="H12" i="13"/>
  <c r="I12" i="13"/>
  <c r="I30" i="13"/>
  <c r="H30" i="13"/>
  <c r="I53" i="34"/>
  <c r="I54" i="34"/>
  <c r="I27" i="13"/>
  <c r="H27" i="13"/>
  <c r="I38" i="13"/>
  <c r="H38" i="13"/>
  <c r="I11" i="13"/>
  <c r="H11" i="13"/>
  <c r="I42" i="13"/>
  <c r="H42" i="13"/>
  <c r="I7" i="13"/>
  <c r="H7" i="13"/>
  <c r="I37" i="13"/>
  <c r="H37" i="13"/>
  <c r="H14" i="13"/>
  <c r="I14" i="13"/>
  <c r="I44" i="13"/>
  <c r="H44" i="13"/>
  <c r="I36" i="13"/>
  <c r="H36" i="13"/>
  <c r="I35" i="13"/>
  <c r="H35" i="13"/>
  <c r="I33" i="13"/>
  <c r="H33" i="13"/>
  <c r="I8" i="13"/>
  <c r="H8" i="13"/>
  <c r="I41" i="13"/>
  <c r="H41" i="13"/>
  <c r="H18" i="13"/>
  <c r="I18" i="13"/>
  <c r="E54" i="34"/>
  <c r="E53" i="34"/>
  <c r="I34" i="13"/>
  <c r="H34" i="13"/>
  <c r="H13" i="13"/>
  <c r="I13" i="13"/>
  <c r="I22" i="13"/>
  <c r="H22" i="13"/>
  <c r="I16" i="13"/>
  <c r="H16" i="13"/>
  <c r="I10" i="13"/>
  <c r="H10" i="13"/>
  <c r="H29" i="13"/>
  <c r="I29" i="13"/>
  <c r="J53" i="34"/>
  <c r="I25" i="13"/>
  <c r="H25" i="13"/>
  <c r="I28" i="13"/>
  <c r="H28" i="13"/>
  <c r="H45" i="13"/>
  <c r="I45" i="13"/>
  <c r="I43" i="13"/>
  <c r="H43" i="13"/>
  <c r="H23" i="13"/>
  <c r="I23" i="13"/>
  <c r="I9" i="13"/>
  <c r="H9" i="13"/>
  <c r="I39" i="13"/>
  <c r="H39" i="13"/>
  <c r="I40" i="13"/>
  <c r="H40" i="13"/>
  <c r="I17" i="13"/>
  <c r="H17" i="13"/>
  <c r="I31" i="13"/>
  <c r="H31" i="13"/>
  <c r="I20" i="13"/>
  <c r="H20" i="13"/>
  <c r="I19" i="13"/>
  <c r="H19" i="13"/>
  <c r="I46" i="13"/>
  <c r="H46" i="13"/>
  <c r="H15" i="13"/>
  <c r="I15" i="13"/>
  <c r="H53" i="34" l="1"/>
  <c r="R177" i="17"/>
  <c r="I179" i="16"/>
  <c r="H178" i="17"/>
  <c r="R177" i="25"/>
  <c r="I179" i="24"/>
  <c r="H178" i="25"/>
  <c r="R178" i="25" s="1"/>
  <c r="R176" i="8"/>
  <c r="I178" i="2"/>
  <c r="H177" i="8"/>
  <c r="R177" i="8" s="1"/>
  <c r="Q39" i="13"/>
  <c r="E39" i="13"/>
  <c r="Q43" i="13"/>
  <c r="E43" i="13"/>
  <c r="Q10" i="13"/>
  <c r="E10" i="13"/>
  <c r="Q8" i="13"/>
  <c r="E8" i="13"/>
  <c r="Q36" i="13"/>
  <c r="E36" i="13"/>
  <c r="R27" i="13"/>
  <c r="F27" i="13"/>
  <c r="O27" i="13" s="1"/>
  <c r="E12" i="13"/>
  <c r="Q12" i="13"/>
  <c r="F32" i="13"/>
  <c r="O32" i="13" s="1"/>
  <c r="R32" i="13"/>
  <c r="F28" i="13"/>
  <c r="O28" i="13" s="1"/>
  <c r="R28" i="13"/>
  <c r="F22" i="13"/>
  <c r="O22" i="13" s="1"/>
  <c r="R22" i="13"/>
  <c r="F31" i="13"/>
  <c r="O31" i="13" s="1"/>
  <c r="R31" i="13"/>
  <c r="E25" i="24" s="1"/>
  <c r="E19" i="13"/>
  <c r="Q19" i="13"/>
  <c r="R39" i="13"/>
  <c r="F39" i="13"/>
  <c r="O39" i="13" s="1"/>
  <c r="F43" i="13"/>
  <c r="O43" i="13" s="1"/>
  <c r="R43" i="13"/>
  <c r="E25" i="13"/>
  <c r="Q25" i="13"/>
  <c r="F10" i="13"/>
  <c r="O10" i="13" s="1"/>
  <c r="R10" i="13"/>
  <c r="F13" i="13"/>
  <c r="O13" i="13" s="1"/>
  <c r="E7" i="24"/>
  <c r="R13" i="13"/>
  <c r="R8" i="13"/>
  <c r="F8" i="13"/>
  <c r="O8" i="13" s="1"/>
  <c r="F36" i="13"/>
  <c r="O36" i="13" s="1"/>
  <c r="R36" i="13"/>
  <c r="E37" i="13"/>
  <c r="Q37" i="13"/>
  <c r="E11" i="13"/>
  <c r="Q11" i="13"/>
  <c r="E5" i="16" s="1"/>
  <c r="F25" i="13"/>
  <c r="O25" i="13" s="1"/>
  <c r="R25" i="13"/>
  <c r="E19" i="24" s="1"/>
  <c r="E13" i="13"/>
  <c r="Q13" i="13"/>
  <c r="S13" i="13" s="1"/>
  <c r="F18" i="13"/>
  <c r="O18" i="13" s="1"/>
  <c r="R18" i="13"/>
  <c r="E33" i="13"/>
  <c r="Q33" i="13"/>
  <c r="R37" i="13"/>
  <c r="F37" i="13"/>
  <c r="O37" i="13" s="1"/>
  <c r="F11" i="13"/>
  <c r="O11" i="13" s="1"/>
  <c r="R11" i="13"/>
  <c r="E5" i="24" s="1"/>
  <c r="Q21" i="13"/>
  <c r="E21" i="13"/>
  <c r="Q26" i="13"/>
  <c r="E26" i="13"/>
  <c r="R46" i="13"/>
  <c r="F46" i="13"/>
  <c r="O46" i="13" s="1"/>
  <c r="Q17" i="13"/>
  <c r="E17" i="13"/>
  <c r="F15" i="13"/>
  <c r="O15" i="13" s="1"/>
  <c r="R15" i="13"/>
  <c r="E9" i="13"/>
  <c r="Q9" i="13"/>
  <c r="E6" i="16" s="1"/>
  <c r="F45" i="13"/>
  <c r="O45" i="13" s="1"/>
  <c r="R45" i="13"/>
  <c r="Q16" i="13"/>
  <c r="E10" i="16" s="1"/>
  <c r="E16" i="13"/>
  <c r="Q18" i="13"/>
  <c r="E18" i="13"/>
  <c r="F33" i="13"/>
  <c r="O33" i="13" s="1"/>
  <c r="R33" i="13"/>
  <c r="E44" i="13"/>
  <c r="Q44" i="13"/>
  <c r="F21" i="13"/>
  <c r="O21" i="13" s="1"/>
  <c r="R21" i="13"/>
  <c r="E15" i="24" s="1"/>
  <c r="F26" i="13"/>
  <c r="O26" i="13" s="1"/>
  <c r="R26" i="13"/>
  <c r="E31" i="13"/>
  <c r="Q31" i="13"/>
  <c r="S31" i="13" s="1"/>
  <c r="R19" i="13"/>
  <c r="F19" i="13"/>
  <c r="O19" i="13" s="1"/>
  <c r="E34" i="13"/>
  <c r="Q34" i="13"/>
  <c r="E28" i="16" s="1"/>
  <c r="R44" i="13"/>
  <c r="F44" i="13"/>
  <c r="O44" i="13" s="1"/>
  <c r="E7" i="13"/>
  <c r="Q7" i="13"/>
  <c r="E4" i="16" s="1"/>
  <c r="Q38" i="13"/>
  <c r="E38" i="13"/>
  <c r="Q30" i="13"/>
  <c r="E30" i="13"/>
  <c r="Q40" i="13"/>
  <c r="E40" i="13"/>
  <c r="Q45" i="13"/>
  <c r="E45" i="13"/>
  <c r="R16" i="13"/>
  <c r="E10" i="24" s="1"/>
  <c r="F16" i="13"/>
  <c r="O16" i="13" s="1"/>
  <c r="F34" i="13"/>
  <c r="O34" i="13" s="1"/>
  <c r="R34" i="13"/>
  <c r="E28" i="24" s="1"/>
  <c r="E41" i="13"/>
  <c r="Q41" i="13"/>
  <c r="E35" i="16" s="1"/>
  <c r="E35" i="13"/>
  <c r="Q35" i="13"/>
  <c r="F7" i="13"/>
  <c r="O7" i="13" s="1"/>
  <c r="R7" i="13"/>
  <c r="F38" i="13"/>
  <c r="O38" i="13" s="1"/>
  <c r="R38" i="13"/>
  <c r="F30" i="13"/>
  <c r="O30" i="13" s="1"/>
  <c r="R30" i="13"/>
  <c r="E24" i="24" s="1"/>
  <c r="H52" i="34"/>
  <c r="E24" i="13"/>
  <c r="Q24" i="13"/>
  <c r="E18" i="16" s="1"/>
  <c r="Q15" i="13"/>
  <c r="E9" i="16" s="1"/>
  <c r="E15" i="13"/>
  <c r="E20" i="13"/>
  <c r="Q20" i="13"/>
  <c r="E14" i="16" s="1"/>
  <c r="F17" i="13"/>
  <c r="O17" i="13" s="1"/>
  <c r="R17" i="13"/>
  <c r="F9" i="13"/>
  <c r="O9" i="13" s="1"/>
  <c r="R9" i="13"/>
  <c r="F20" i="13"/>
  <c r="O20" i="13" s="1"/>
  <c r="R20" i="13"/>
  <c r="E14" i="24" s="1"/>
  <c r="F23" i="13"/>
  <c r="O23" i="13" s="1"/>
  <c r="R23" i="13"/>
  <c r="E17" i="24" s="1"/>
  <c r="F29" i="13"/>
  <c r="O29" i="13" s="1"/>
  <c r="R29" i="13"/>
  <c r="E23" i="24" s="1"/>
  <c r="Q46" i="13"/>
  <c r="E46" i="13"/>
  <c r="F40" i="13"/>
  <c r="O40" i="13" s="1"/>
  <c r="R40" i="13"/>
  <c r="E34" i="24" s="1"/>
  <c r="E23" i="13"/>
  <c r="Q23" i="13"/>
  <c r="E17" i="16" s="1"/>
  <c r="Q28" i="13"/>
  <c r="E22" i="16" s="1"/>
  <c r="E28" i="13"/>
  <c r="E29" i="13"/>
  <c r="Q29" i="13"/>
  <c r="E23" i="16" s="1"/>
  <c r="E22" i="13"/>
  <c r="Q22" i="13"/>
  <c r="F41" i="13"/>
  <c r="O41" i="13" s="1"/>
  <c r="R41" i="13"/>
  <c r="E35" i="24" s="1"/>
  <c r="R35" i="13"/>
  <c r="E29" i="24" s="1"/>
  <c r="F35" i="13"/>
  <c r="O35" i="13" s="1"/>
  <c r="R14" i="13"/>
  <c r="E8" i="24" s="1"/>
  <c r="F14" i="13"/>
  <c r="O14" i="13" s="1"/>
  <c r="E42" i="13"/>
  <c r="Q42" i="13"/>
  <c r="E36" i="16" s="1"/>
  <c r="F24" i="13"/>
  <c r="O24" i="13" s="1"/>
  <c r="R24" i="13"/>
  <c r="E14" i="13"/>
  <c r="Q14" i="13"/>
  <c r="E8" i="16" s="1"/>
  <c r="F42" i="13"/>
  <c r="O42" i="13" s="1"/>
  <c r="R42" i="13"/>
  <c r="E36" i="24" s="1"/>
  <c r="E27" i="13"/>
  <c r="Q27" i="13"/>
  <c r="S27" i="13" s="1"/>
  <c r="R12" i="13"/>
  <c r="E6" i="24" s="1"/>
  <c r="F12" i="13"/>
  <c r="O12" i="13" s="1"/>
  <c r="E32" i="13"/>
  <c r="Q32" i="13"/>
  <c r="E26" i="16" s="1"/>
  <c r="E18" i="24" l="1"/>
  <c r="E21" i="24"/>
  <c r="E40" i="16"/>
  <c r="D40" i="16" s="1"/>
  <c r="E43" i="16"/>
  <c r="E11" i="24"/>
  <c r="F11" i="24" s="1"/>
  <c r="E32" i="24"/>
  <c r="E29" i="16"/>
  <c r="D29" i="16" s="1"/>
  <c r="E39" i="16"/>
  <c r="D39" i="16" s="1"/>
  <c r="E42" i="16"/>
  <c r="E34" i="16"/>
  <c r="E37" i="16"/>
  <c r="D37" i="16" s="1"/>
  <c r="E24" i="16"/>
  <c r="E32" i="16"/>
  <c r="D32" i="16" s="1"/>
  <c r="E38" i="24"/>
  <c r="E13" i="24"/>
  <c r="D13" i="24" s="1"/>
  <c r="E20" i="24"/>
  <c r="F20" i="24" s="1"/>
  <c r="E38" i="16"/>
  <c r="E27" i="24"/>
  <c r="E39" i="24"/>
  <c r="D39" i="24" s="1"/>
  <c r="E42" i="24"/>
  <c r="E9" i="24"/>
  <c r="F9" i="24" s="1"/>
  <c r="E11" i="16"/>
  <c r="E40" i="24"/>
  <c r="D40" i="24" s="1"/>
  <c r="E43" i="24"/>
  <c r="E20" i="16"/>
  <c r="E15" i="16"/>
  <c r="E31" i="24"/>
  <c r="D31" i="24" s="1"/>
  <c r="E27" i="16"/>
  <c r="E12" i="24"/>
  <c r="D12" i="24" s="1"/>
  <c r="E31" i="16"/>
  <c r="E30" i="24"/>
  <c r="F30" i="24" s="1"/>
  <c r="E4" i="24"/>
  <c r="D4" i="24" s="1"/>
  <c r="E19" i="16"/>
  <c r="F19" i="16" s="1"/>
  <c r="E37" i="24"/>
  <c r="E33" i="24"/>
  <c r="D33" i="24" s="1"/>
  <c r="E13" i="16"/>
  <c r="E16" i="24"/>
  <c r="E22" i="24"/>
  <c r="E26" i="24"/>
  <c r="D26" i="24" s="1"/>
  <c r="E30" i="16"/>
  <c r="D30" i="16" s="1"/>
  <c r="E33" i="16"/>
  <c r="D33" i="16" s="1"/>
  <c r="E25" i="16"/>
  <c r="D25" i="16" s="1"/>
  <c r="S22" i="13"/>
  <c r="S46" i="13"/>
  <c r="E21" i="16"/>
  <c r="D21" i="16" s="1"/>
  <c r="S18" i="13"/>
  <c r="S14" i="13"/>
  <c r="S28" i="13"/>
  <c r="E12" i="16"/>
  <c r="F12" i="16" s="1"/>
  <c r="S42" i="13"/>
  <c r="E16" i="16"/>
  <c r="F16" i="16" s="1"/>
  <c r="S44" i="13"/>
  <c r="E7" i="16"/>
  <c r="F7" i="16" s="1"/>
  <c r="I179" i="2"/>
  <c r="H178" i="8"/>
  <c r="R178" i="8" s="1"/>
  <c r="R178" i="17"/>
  <c r="I180" i="16"/>
  <c r="H179" i="17"/>
  <c r="AG30" i="42"/>
  <c r="I180" i="24"/>
  <c r="H179" i="25"/>
  <c r="S17" i="13"/>
  <c r="E11" i="2" s="1"/>
  <c r="D11" i="2" s="1"/>
  <c r="E11" i="8" s="1"/>
  <c r="S9" i="13"/>
  <c r="S35" i="13"/>
  <c r="S40" i="13"/>
  <c r="S23" i="13"/>
  <c r="S41" i="13"/>
  <c r="S7" i="13"/>
  <c r="S29" i="13"/>
  <c r="S26" i="13"/>
  <c r="E20" i="2" s="1"/>
  <c r="D20" i="2" s="1"/>
  <c r="E20" i="8" s="1"/>
  <c r="D28" i="24"/>
  <c r="F28" i="24"/>
  <c r="G33" i="13"/>
  <c r="N33" i="13"/>
  <c r="P33" i="13" s="1"/>
  <c r="D36" i="16"/>
  <c r="F36" i="16"/>
  <c r="N22" i="13"/>
  <c r="P22" i="13" s="1"/>
  <c r="G22" i="13"/>
  <c r="G23" i="13"/>
  <c r="N23" i="13"/>
  <c r="P23" i="13" s="1"/>
  <c r="S20" i="13"/>
  <c r="E14" i="2" s="1"/>
  <c r="D14" i="2" s="1"/>
  <c r="E14" i="8" s="1"/>
  <c r="D18" i="16"/>
  <c r="F18" i="16"/>
  <c r="F29" i="16"/>
  <c r="D10" i="24"/>
  <c r="F10" i="24"/>
  <c r="D34" i="16"/>
  <c r="F34" i="16"/>
  <c r="N7" i="13"/>
  <c r="P7" i="13" s="1"/>
  <c r="G7" i="13"/>
  <c r="S34" i="13"/>
  <c r="E28" i="2" s="1"/>
  <c r="D28" i="2" s="1"/>
  <c r="E28" i="8" s="1"/>
  <c r="D38" i="16"/>
  <c r="F38" i="16"/>
  <c r="G26" i="13"/>
  <c r="N26" i="13"/>
  <c r="P26" i="13" s="1"/>
  <c r="F12" i="24"/>
  <c r="D31" i="16"/>
  <c r="F31" i="16"/>
  <c r="S8" i="13"/>
  <c r="G43" i="13"/>
  <c r="N43" i="13"/>
  <c r="P43" i="13" s="1"/>
  <c r="F6" i="24"/>
  <c r="D6" i="24"/>
  <c r="D8" i="16"/>
  <c r="F8" i="16"/>
  <c r="D18" i="24"/>
  <c r="F18" i="24"/>
  <c r="D17" i="16"/>
  <c r="F17" i="16"/>
  <c r="D14" i="16"/>
  <c r="F14" i="16"/>
  <c r="S24" i="13"/>
  <c r="D32" i="24"/>
  <c r="F32" i="24"/>
  <c r="G35" i="13"/>
  <c r="N35" i="13"/>
  <c r="P35" i="13" s="1"/>
  <c r="D24" i="16"/>
  <c r="F24" i="16"/>
  <c r="D28" i="16"/>
  <c r="F28" i="16"/>
  <c r="G44" i="13"/>
  <c r="N44" i="13"/>
  <c r="P44" i="13" s="1"/>
  <c r="G17" i="13"/>
  <c r="N17" i="13"/>
  <c r="P17" i="13" s="1"/>
  <c r="S37" i="13"/>
  <c r="E31" i="2" s="1"/>
  <c r="D31" i="2" s="1"/>
  <c r="E31" i="8" s="1"/>
  <c r="D7" i="24"/>
  <c r="F7" i="24"/>
  <c r="D37" i="24"/>
  <c r="F37" i="24"/>
  <c r="S19" i="13"/>
  <c r="D16" i="24"/>
  <c r="F16" i="24"/>
  <c r="F37" i="16"/>
  <c r="G14" i="13"/>
  <c r="N14" i="13"/>
  <c r="P14" i="13" s="1"/>
  <c r="G42" i="13"/>
  <c r="N42" i="13"/>
  <c r="P42" i="13" s="1"/>
  <c r="D13" i="16"/>
  <c r="F13" i="16"/>
  <c r="D22" i="24"/>
  <c r="F22" i="24"/>
  <c r="S12" i="13"/>
  <c r="E6" i="2" s="1"/>
  <c r="D6" i="2" s="1"/>
  <c r="E6" i="8" s="1"/>
  <c r="S43" i="13"/>
  <c r="E37" i="2" s="1"/>
  <c r="D37" i="2" s="1"/>
  <c r="E37" i="8" s="1"/>
  <c r="N46" i="13"/>
  <c r="P46" i="13" s="1"/>
  <c r="F43" i="2" s="1"/>
  <c r="G46" i="13"/>
  <c r="D14" i="24"/>
  <c r="F14" i="24"/>
  <c r="F31" i="24"/>
  <c r="G37" i="13"/>
  <c r="N37" i="13"/>
  <c r="P37" i="13" s="1"/>
  <c r="D35" i="24"/>
  <c r="F35" i="24"/>
  <c r="D34" i="24"/>
  <c r="F34" i="24"/>
  <c r="D9" i="16"/>
  <c r="F9" i="16"/>
  <c r="D35" i="16"/>
  <c r="F35" i="16"/>
  <c r="S30" i="13"/>
  <c r="E24" i="2" s="1"/>
  <c r="D24" i="2" s="1"/>
  <c r="E24" i="8" s="1"/>
  <c r="F38" i="24"/>
  <c r="D38" i="24"/>
  <c r="D27" i="24"/>
  <c r="F27" i="24"/>
  <c r="D10" i="16"/>
  <c r="F10" i="16"/>
  <c r="G9" i="13"/>
  <c r="N9" i="13"/>
  <c r="P9" i="13" s="1"/>
  <c r="D11" i="16"/>
  <c r="F11" i="16"/>
  <c r="G21" i="13"/>
  <c r="N21" i="13"/>
  <c r="P21" i="13" s="1"/>
  <c r="N19" i="13"/>
  <c r="P19" i="13" s="1"/>
  <c r="G19" i="13"/>
  <c r="G12" i="13"/>
  <c r="N12" i="13"/>
  <c r="P12" i="13" s="1"/>
  <c r="N10" i="13"/>
  <c r="P10" i="13" s="1"/>
  <c r="G10" i="13"/>
  <c r="G39" i="13"/>
  <c r="N39" i="13"/>
  <c r="P39" i="13" s="1"/>
  <c r="D23" i="24"/>
  <c r="F23" i="24"/>
  <c r="N24" i="13"/>
  <c r="P24" i="13" s="1"/>
  <c r="G24" i="13"/>
  <c r="N34" i="13"/>
  <c r="P34" i="13" s="1"/>
  <c r="G34" i="13"/>
  <c r="D15" i="16"/>
  <c r="F15" i="16"/>
  <c r="D8" i="24"/>
  <c r="F8" i="24"/>
  <c r="N29" i="13"/>
  <c r="P29" i="13" s="1"/>
  <c r="G29" i="13"/>
  <c r="D26" i="16"/>
  <c r="F26" i="16"/>
  <c r="N27" i="13"/>
  <c r="P27" i="13" s="1"/>
  <c r="G27" i="13"/>
  <c r="G28" i="13"/>
  <c r="N28" i="13"/>
  <c r="P28" i="13" s="1"/>
  <c r="N15" i="13"/>
  <c r="P15" i="13" s="1"/>
  <c r="G15" i="13"/>
  <c r="I47" i="13"/>
  <c r="H47" i="13"/>
  <c r="N41" i="13"/>
  <c r="P41" i="13" s="1"/>
  <c r="G41" i="13"/>
  <c r="N45" i="13"/>
  <c r="P45" i="13" s="1"/>
  <c r="F42" i="2" s="1"/>
  <c r="G45" i="13"/>
  <c r="N38" i="13"/>
  <c r="P38" i="13" s="1"/>
  <c r="G38" i="13"/>
  <c r="N31" i="13"/>
  <c r="P31" i="13" s="1"/>
  <c r="G31" i="13"/>
  <c r="S16" i="13"/>
  <c r="E10" i="2" s="1"/>
  <c r="D10" i="2" s="1"/>
  <c r="E10" i="8" s="1"/>
  <c r="S21" i="13"/>
  <c r="E15" i="2" s="1"/>
  <c r="D15" i="2" s="1"/>
  <c r="E15" i="8" s="1"/>
  <c r="D30" i="24"/>
  <c r="D6" i="16"/>
  <c r="F6" i="16"/>
  <c r="G36" i="13"/>
  <c r="N36" i="13"/>
  <c r="P36" i="13" s="1"/>
  <c r="D4" i="16"/>
  <c r="F4" i="16"/>
  <c r="G4" i="16" s="1"/>
  <c r="D4" i="17" s="1"/>
  <c r="D23" i="16"/>
  <c r="F23" i="16"/>
  <c r="D15" i="24"/>
  <c r="F15" i="24"/>
  <c r="N16" i="13"/>
  <c r="P16" i="13" s="1"/>
  <c r="G16" i="13"/>
  <c r="S32" i="13"/>
  <c r="E26" i="2" s="1"/>
  <c r="D26" i="2" s="1"/>
  <c r="E26" i="8" s="1"/>
  <c r="D36" i="24"/>
  <c r="F36" i="24"/>
  <c r="D17" i="24"/>
  <c r="F17" i="24"/>
  <c r="D11" i="24"/>
  <c r="S15" i="13"/>
  <c r="E9" i="2" s="1"/>
  <c r="D9" i="2" s="1"/>
  <c r="E9" i="8" s="1"/>
  <c r="D24" i="24"/>
  <c r="F24" i="24"/>
  <c r="S45" i="13"/>
  <c r="G18" i="13"/>
  <c r="N18" i="13"/>
  <c r="P18" i="13" s="1"/>
  <c r="S33" i="13"/>
  <c r="E27" i="2" s="1"/>
  <c r="D27" i="2" s="1"/>
  <c r="E27" i="8" s="1"/>
  <c r="G13" i="13"/>
  <c r="N13" i="13"/>
  <c r="P13" i="13" s="1"/>
  <c r="S11" i="13"/>
  <c r="E5" i="2" s="1"/>
  <c r="D5" i="2" s="1"/>
  <c r="E5" i="8" s="1"/>
  <c r="S10" i="13"/>
  <c r="S39" i="13"/>
  <c r="G20" i="13"/>
  <c r="N20" i="13"/>
  <c r="P20" i="13" s="1"/>
  <c r="G30" i="13"/>
  <c r="N30" i="13"/>
  <c r="P30" i="13" s="1"/>
  <c r="F19" i="24"/>
  <c r="D19" i="24"/>
  <c r="N32" i="13"/>
  <c r="P32" i="13" s="1"/>
  <c r="G32" i="13"/>
  <c r="D22" i="16"/>
  <c r="F22" i="16"/>
  <c r="N40" i="13"/>
  <c r="P40" i="13" s="1"/>
  <c r="G40" i="13"/>
  <c r="S38" i="13"/>
  <c r="E32" i="2" s="1"/>
  <c r="D32" i="2" s="1"/>
  <c r="E32" i="8" s="1"/>
  <c r="D9" i="24"/>
  <c r="F40" i="24"/>
  <c r="D5" i="24"/>
  <c r="F5" i="24"/>
  <c r="D27" i="16"/>
  <c r="F27" i="16"/>
  <c r="G11" i="13"/>
  <c r="N11" i="13"/>
  <c r="P11" i="13" s="1"/>
  <c r="S25" i="13"/>
  <c r="E19" i="2" s="1"/>
  <c r="D19" i="2" s="1"/>
  <c r="E19" i="8" s="1"/>
  <c r="D25" i="24"/>
  <c r="F25" i="24"/>
  <c r="S36" i="13"/>
  <c r="E30" i="2" s="1"/>
  <c r="D30" i="2" s="1"/>
  <c r="E30" i="8" s="1"/>
  <c r="F29" i="24"/>
  <c r="D29" i="24"/>
  <c r="D20" i="16"/>
  <c r="F20" i="16"/>
  <c r="D5" i="16"/>
  <c r="F5" i="16"/>
  <c r="N25" i="13"/>
  <c r="P25" i="13" s="1"/>
  <c r="G25" i="13"/>
  <c r="D21" i="24"/>
  <c r="F21" i="24"/>
  <c r="N8" i="13"/>
  <c r="P8" i="13" s="1"/>
  <c r="G8" i="13"/>
  <c r="F32" i="16" l="1"/>
  <c r="F13" i="24"/>
  <c r="F26" i="24"/>
  <c r="F33" i="24"/>
  <c r="F39" i="24"/>
  <c r="F40" i="16"/>
  <c r="D19" i="16"/>
  <c r="E19" i="17" s="1"/>
  <c r="F33" i="16"/>
  <c r="F4" i="24"/>
  <c r="G4" i="24" s="1"/>
  <c r="D4" i="25" s="1"/>
  <c r="F39" i="16"/>
  <c r="D20" i="24"/>
  <c r="E20" i="25" s="1"/>
  <c r="F30" i="16"/>
  <c r="E33" i="2"/>
  <c r="D33" i="2" s="1"/>
  <c r="E33" i="8" s="1"/>
  <c r="E4" i="2"/>
  <c r="D4" i="2" s="1"/>
  <c r="E4" i="8" s="1"/>
  <c r="E7" i="2"/>
  <c r="D7" i="2" s="1"/>
  <c r="E7" i="8" s="1"/>
  <c r="E39" i="2"/>
  <c r="D39" i="2" s="1"/>
  <c r="E39" i="8" s="1"/>
  <c r="E42" i="2"/>
  <c r="D42" i="2" s="1"/>
  <c r="E42" i="8" s="1"/>
  <c r="E13" i="2"/>
  <c r="D13" i="2" s="1"/>
  <c r="E13" i="8" s="1"/>
  <c r="E18" i="2"/>
  <c r="D18" i="2" s="1"/>
  <c r="E18" i="8" s="1"/>
  <c r="E21" i="2"/>
  <c r="D21" i="2" s="1"/>
  <c r="E21" i="8" s="1"/>
  <c r="E23" i="2"/>
  <c r="D23" i="2" s="1"/>
  <c r="E23" i="8" s="1"/>
  <c r="E35" i="2"/>
  <c r="D35" i="2" s="1"/>
  <c r="E35" i="8" s="1"/>
  <c r="E17" i="2"/>
  <c r="D17" i="2" s="1"/>
  <c r="E17" i="8" s="1"/>
  <c r="E34" i="2"/>
  <c r="D34" i="2" s="1"/>
  <c r="E34" i="8" s="1"/>
  <c r="E29" i="2"/>
  <c r="D29" i="2" s="1"/>
  <c r="E29" i="8" s="1"/>
  <c r="E38" i="2"/>
  <c r="D38" i="2" s="1"/>
  <c r="E38" i="8" s="1"/>
  <c r="E36" i="2"/>
  <c r="D36" i="2" s="1"/>
  <c r="E36" i="8" s="1"/>
  <c r="E22" i="2"/>
  <c r="D22" i="2" s="1"/>
  <c r="E22" i="8" s="1"/>
  <c r="E25" i="2"/>
  <c r="D25" i="2" s="1"/>
  <c r="E25" i="8" s="1"/>
  <c r="E8" i="2"/>
  <c r="D8" i="2" s="1"/>
  <c r="E8" i="8" s="1"/>
  <c r="E12" i="2"/>
  <c r="D12" i="2" s="1"/>
  <c r="E12" i="8" s="1"/>
  <c r="E40" i="2"/>
  <c r="D40" i="2" s="1"/>
  <c r="E40" i="8" s="1"/>
  <c r="E43" i="2"/>
  <c r="D43" i="2" s="1"/>
  <c r="E43" i="8" s="1"/>
  <c r="E16" i="2"/>
  <c r="D16" i="2" s="1"/>
  <c r="E16" i="8" s="1"/>
  <c r="D43" i="24"/>
  <c r="E43" i="25" s="1"/>
  <c r="F43" i="24"/>
  <c r="D42" i="24"/>
  <c r="E42" i="25" s="1"/>
  <c r="F42" i="24"/>
  <c r="D42" i="16"/>
  <c r="E42" i="17" s="1"/>
  <c r="F42" i="16"/>
  <c r="D43" i="16"/>
  <c r="E43" i="17" s="1"/>
  <c r="F43" i="16"/>
  <c r="D16" i="16"/>
  <c r="E16" i="17" s="1"/>
  <c r="F25" i="16"/>
  <c r="F8" i="2"/>
  <c r="F17" i="2"/>
  <c r="D12" i="16"/>
  <c r="E12" i="17" s="1"/>
  <c r="D7" i="16"/>
  <c r="E7" i="17" s="1"/>
  <c r="F40" i="2"/>
  <c r="F16" i="2"/>
  <c r="F19" i="2"/>
  <c r="F10" i="2"/>
  <c r="F28" i="2"/>
  <c r="F21" i="16"/>
  <c r="F9" i="2"/>
  <c r="F21" i="2"/>
  <c r="F23" i="2"/>
  <c r="F18" i="2"/>
  <c r="F34" i="2"/>
  <c r="F4" i="2"/>
  <c r="G4" i="2" s="1"/>
  <c r="D4" i="8" s="1"/>
  <c r="F13" i="2"/>
  <c r="F30" i="2"/>
  <c r="F7" i="2"/>
  <c r="F26" i="2"/>
  <c r="F14" i="2"/>
  <c r="F25" i="2"/>
  <c r="F39" i="2"/>
  <c r="F33" i="2"/>
  <c r="F6" i="2"/>
  <c r="F37" i="2"/>
  <c r="F5" i="2"/>
  <c r="F31" i="2"/>
  <c r="F36" i="2"/>
  <c r="F11" i="2"/>
  <c r="F38" i="2"/>
  <c r="F29" i="2"/>
  <c r="F20" i="2"/>
  <c r="F27" i="2"/>
  <c r="F24" i="2"/>
  <c r="F12" i="2"/>
  <c r="F32" i="2"/>
  <c r="F35" i="2"/>
  <c r="F22" i="2"/>
  <c r="F15" i="2"/>
  <c r="AK30" i="42"/>
  <c r="AM30" i="42"/>
  <c r="AF30" i="42"/>
  <c r="R179" i="17"/>
  <c r="I181" i="16"/>
  <c r="H180" i="17"/>
  <c r="R180" i="17" s="1"/>
  <c r="S30" i="42"/>
  <c r="R179" i="25"/>
  <c r="I181" i="24"/>
  <c r="H180" i="25"/>
  <c r="E30" i="42"/>
  <c r="I180" i="2"/>
  <c r="H179" i="8"/>
  <c r="R179" i="8" s="1"/>
  <c r="G5" i="16"/>
  <c r="D5" i="17" s="1"/>
  <c r="G5" i="24"/>
  <c r="D5" i="25" s="1"/>
  <c r="E33" i="25"/>
  <c r="E32" i="17"/>
  <c r="E17" i="25"/>
  <c r="E47" i="13"/>
  <c r="Q47" i="13"/>
  <c r="E15" i="17"/>
  <c r="E10" i="17"/>
  <c r="E8" i="17"/>
  <c r="E29" i="17"/>
  <c r="E23" i="17"/>
  <c r="E6" i="17"/>
  <c r="R47" i="13"/>
  <c r="F47" i="13"/>
  <c r="O47" i="13" s="1"/>
  <c r="E35" i="17"/>
  <c r="E16" i="25"/>
  <c r="E28" i="17"/>
  <c r="E6" i="25"/>
  <c r="E31" i="17"/>
  <c r="E21" i="25"/>
  <c r="E21" i="17"/>
  <c r="E36" i="25"/>
  <c r="E26" i="17"/>
  <c r="E27" i="25"/>
  <c r="E14" i="17"/>
  <c r="E18" i="17"/>
  <c r="E40" i="25"/>
  <c r="E19" i="25"/>
  <c r="E24" i="25"/>
  <c r="E33" i="17"/>
  <c r="E4" i="25"/>
  <c r="E38" i="25"/>
  <c r="E9" i="17"/>
  <c r="E31" i="25"/>
  <c r="E39" i="25"/>
  <c r="E24" i="17"/>
  <c r="E12" i="25"/>
  <c r="E36" i="17"/>
  <c r="E5" i="25"/>
  <c r="E11" i="17"/>
  <c r="E37" i="25"/>
  <c r="E17" i="17"/>
  <c r="E34" i="17"/>
  <c r="E25" i="25"/>
  <c r="E5" i="17"/>
  <c r="E20" i="17"/>
  <c r="E4" i="17"/>
  <c r="E30" i="25"/>
  <c r="E34" i="25"/>
  <c r="E25" i="17"/>
  <c r="E22" i="25"/>
  <c r="E37" i="17"/>
  <c r="E40" i="17"/>
  <c r="E9" i="25"/>
  <c r="E29" i="25"/>
  <c r="E22" i="17"/>
  <c r="E30" i="17"/>
  <c r="E11" i="25"/>
  <c r="E8" i="25"/>
  <c r="E23" i="25"/>
  <c r="E7" i="25"/>
  <c r="E18" i="25"/>
  <c r="E10" i="25"/>
  <c r="E27" i="17"/>
  <c r="E15" i="25"/>
  <c r="E39" i="17"/>
  <c r="E35" i="25"/>
  <c r="E14" i="25"/>
  <c r="E13" i="17"/>
  <c r="E26" i="25"/>
  <c r="E13" i="25"/>
  <c r="E32" i="25"/>
  <c r="E38" i="17"/>
  <c r="E28" i="25"/>
  <c r="E41" i="24" l="1"/>
  <c r="E44" i="24"/>
  <c r="E41" i="16"/>
  <c r="F41" i="16" s="1"/>
  <c r="E44" i="16"/>
  <c r="G5" i="2"/>
  <c r="D5" i="8" s="1"/>
  <c r="G6" i="16"/>
  <c r="D6" i="17" s="1"/>
  <c r="I30" i="42"/>
  <c r="D30" i="42"/>
  <c r="F29" i="42"/>
  <c r="I181" i="2"/>
  <c r="H180" i="8"/>
  <c r="Y30" i="42"/>
  <c r="R30" i="42"/>
  <c r="R180" i="25"/>
  <c r="I182" i="24"/>
  <c r="H181" i="25"/>
  <c r="R181" i="25" s="1"/>
  <c r="I182" i="16"/>
  <c r="H181" i="17"/>
  <c r="R181" i="17" s="1"/>
  <c r="G6" i="24"/>
  <c r="D6" i="25" s="1"/>
  <c r="N47" i="13"/>
  <c r="P47" i="13" s="1"/>
  <c r="F44" i="2" s="1"/>
  <c r="G47" i="13"/>
  <c r="D41" i="24"/>
  <c r="F41" i="24"/>
  <c r="D41" i="16"/>
  <c r="S47" i="13"/>
  <c r="E41" i="2" l="1"/>
  <c r="D41" i="2" s="1"/>
  <c r="E41" i="8" s="1"/>
  <c r="E44" i="2"/>
  <c r="D44" i="2" s="1"/>
  <c r="E44" i="8" s="1"/>
  <c r="F44" i="16"/>
  <c r="D44" i="16"/>
  <c r="E44" i="17" s="1"/>
  <c r="D44" i="24"/>
  <c r="E44" i="25" s="1"/>
  <c r="F44" i="24"/>
  <c r="G6" i="2"/>
  <c r="D6" i="8" s="1"/>
  <c r="G7" i="16"/>
  <c r="D7" i="17" s="1"/>
  <c r="H182" i="17"/>
  <c r="R182" i="17" s="1"/>
  <c r="I183" i="16"/>
  <c r="H182" i="25"/>
  <c r="R182" i="25" s="1"/>
  <c r="I183" i="24"/>
  <c r="R180" i="8"/>
  <c r="I182" i="2"/>
  <c r="H181" i="8"/>
  <c r="R181" i="8" s="1"/>
  <c r="G7" i="24"/>
  <c r="D7" i="25" s="1"/>
  <c r="E50" i="34"/>
  <c r="E55" i="34" s="1"/>
  <c r="F41" i="2"/>
  <c r="E41" i="17"/>
  <c r="E41" i="25"/>
  <c r="G7" i="2" l="1"/>
  <c r="G8" i="2" s="1"/>
  <c r="G9" i="2" s="1"/>
  <c r="G8" i="16"/>
  <c r="D8" i="17" s="1"/>
  <c r="I184" i="24"/>
  <c r="H183" i="25"/>
  <c r="I184" i="16"/>
  <c r="H183" i="17"/>
  <c r="H182" i="8"/>
  <c r="I183" i="2"/>
  <c r="G8" i="24"/>
  <c r="D8" i="25" s="1"/>
  <c r="D7" i="8" l="1"/>
  <c r="D8" i="8"/>
  <c r="G9" i="16"/>
  <c r="G10" i="16" s="1"/>
  <c r="R183" i="17"/>
  <c r="R183" i="25"/>
  <c r="I185" i="16"/>
  <c r="H185" i="17" s="1"/>
  <c r="R185" i="17" s="1"/>
  <c r="F31" i="47" s="1"/>
  <c r="H184" i="17"/>
  <c r="I184" i="2"/>
  <c r="H183" i="8"/>
  <c r="I185" i="24"/>
  <c r="H185" i="25" s="1"/>
  <c r="R185" i="25" s="1"/>
  <c r="F31" i="48" s="1"/>
  <c r="H184" i="25"/>
  <c r="R182" i="8"/>
  <c r="E5" i="42"/>
  <c r="G9" i="24"/>
  <c r="G10" i="24" s="1"/>
  <c r="D10" i="25" s="1"/>
  <c r="D9" i="8"/>
  <c r="G10" i="2"/>
  <c r="D9" i="17" l="1"/>
  <c r="F7" i="48"/>
  <c r="F8" i="48"/>
  <c r="F6" i="48"/>
  <c r="F9" i="48"/>
  <c r="F10" i="48"/>
  <c r="F11" i="48"/>
  <c r="F12" i="48"/>
  <c r="F13" i="48"/>
  <c r="F14" i="48"/>
  <c r="F15" i="48"/>
  <c r="F16" i="48"/>
  <c r="F17" i="48"/>
  <c r="F18" i="48"/>
  <c r="F19" i="48"/>
  <c r="F20" i="48"/>
  <c r="F21" i="48"/>
  <c r="F22" i="48"/>
  <c r="F23" i="48"/>
  <c r="F24" i="48"/>
  <c r="F25" i="48"/>
  <c r="F26" i="48"/>
  <c r="F27" i="48"/>
  <c r="F28" i="48"/>
  <c r="F29" i="48"/>
  <c r="F30" i="48"/>
  <c r="F6" i="47"/>
  <c r="F8" i="47"/>
  <c r="F7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F24" i="47"/>
  <c r="F25" i="47"/>
  <c r="F26" i="47"/>
  <c r="F27" i="47"/>
  <c r="F28" i="47"/>
  <c r="F29" i="47"/>
  <c r="F30" i="47"/>
  <c r="J16" i="14"/>
  <c r="J12" i="14" s="1"/>
  <c r="J16" i="22"/>
  <c r="R184" i="25"/>
  <c r="B6" i="23"/>
  <c r="K4" i="7"/>
  <c r="AG31" i="42"/>
  <c r="R183" i="8"/>
  <c r="I185" i="2"/>
  <c r="H185" i="8" s="1"/>
  <c r="R185" i="8" s="1"/>
  <c r="F31" i="46" s="1"/>
  <c r="H184" i="8"/>
  <c r="K27" i="42"/>
  <c r="K28" i="42"/>
  <c r="K29" i="42"/>
  <c r="K30" i="42"/>
  <c r="R184" i="17"/>
  <c r="B6" i="15"/>
  <c r="S31" i="42"/>
  <c r="K24" i="42"/>
  <c r="K25" i="42"/>
  <c r="K26" i="42"/>
  <c r="K20" i="42"/>
  <c r="K21" i="42"/>
  <c r="K22" i="42"/>
  <c r="K23" i="42"/>
  <c r="K14" i="42"/>
  <c r="K15" i="42"/>
  <c r="K16" i="42"/>
  <c r="K17" i="42"/>
  <c r="K18" i="42"/>
  <c r="K19" i="42"/>
  <c r="K10" i="42"/>
  <c r="K11" i="42"/>
  <c r="K12" i="42"/>
  <c r="K13" i="42"/>
  <c r="F5" i="42"/>
  <c r="K6" i="42"/>
  <c r="I6" i="42"/>
  <c r="K7" i="42"/>
  <c r="K8" i="42"/>
  <c r="K9" i="42"/>
  <c r="G11" i="24"/>
  <c r="D11" i="25" s="1"/>
  <c r="D9" i="25"/>
  <c r="D10" i="17"/>
  <c r="G11" i="16"/>
  <c r="D10" i="8"/>
  <c r="G11" i="2"/>
  <c r="E6" i="48" l="1"/>
  <c r="E7" i="48" s="1"/>
  <c r="E8" i="48" s="1"/>
  <c r="E9" i="48" s="1"/>
  <c r="E10" i="48" s="1"/>
  <c r="E11" i="48" s="1"/>
  <c r="E12" i="48" s="1"/>
  <c r="E13" i="48" s="1"/>
  <c r="E14" i="48" s="1"/>
  <c r="E15" i="48" s="1"/>
  <c r="E16" i="48" s="1"/>
  <c r="E17" i="48" s="1"/>
  <c r="E18" i="48" s="1"/>
  <c r="E19" i="48" s="1"/>
  <c r="E20" i="48" s="1"/>
  <c r="E21" i="48" s="1"/>
  <c r="E22" i="48" s="1"/>
  <c r="E23" i="48" s="1"/>
  <c r="E24" i="48" s="1"/>
  <c r="E25" i="48" s="1"/>
  <c r="E26" i="48" s="1"/>
  <c r="E27" i="48" s="1"/>
  <c r="E28" i="48" s="1"/>
  <c r="E29" i="48" s="1"/>
  <c r="E30" i="48" s="1"/>
  <c r="E31" i="48" s="1"/>
  <c r="F9" i="46"/>
  <c r="F6" i="46"/>
  <c r="F8" i="46"/>
  <c r="F7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27" i="46"/>
  <c r="F28" i="46"/>
  <c r="F29" i="46"/>
  <c r="F30" i="46"/>
  <c r="G30" i="46" s="1"/>
  <c r="E6" i="47"/>
  <c r="E7" i="47" s="1"/>
  <c r="E8" i="47" s="1"/>
  <c r="E9" i="47" s="1"/>
  <c r="E10" i="47" s="1"/>
  <c r="E11" i="47" s="1"/>
  <c r="E12" i="47" s="1"/>
  <c r="E13" i="47" s="1"/>
  <c r="E14" i="47" s="1"/>
  <c r="E15" i="47" s="1"/>
  <c r="E16" i="47" s="1"/>
  <c r="E17" i="47" s="1"/>
  <c r="E18" i="47" s="1"/>
  <c r="E19" i="47" s="1"/>
  <c r="E20" i="47" s="1"/>
  <c r="E21" i="47" s="1"/>
  <c r="E22" i="47" s="1"/>
  <c r="E23" i="47" s="1"/>
  <c r="E24" i="47" s="1"/>
  <c r="E25" i="47" s="1"/>
  <c r="E26" i="47" s="1"/>
  <c r="E27" i="47" s="1"/>
  <c r="E28" i="47" s="1"/>
  <c r="E29" i="47" s="1"/>
  <c r="E30" i="47" s="1"/>
  <c r="E31" i="47" s="1"/>
  <c r="J4" i="14"/>
  <c r="J10" i="14" s="1"/>
  <c r="M13" i="26"/>
  <c r="D13" i="26"/>
  <c r="N13" i="26"/>
  <c r="E13" i="26"/>
  <c r="E22" i="4"/>
  <c r="E16" i="4" s="1"/>
  <c r="J22" i="4"/>
  <c r="I22" i="4"/>
  <c r="J4" i="22"/>
  <c r="J10" i="22" s="1"/>
  <c r="J12" i="22"/>
  <c r="J43" i="26" s="1"/>
  <c r="J23" i="4"/>
  <c r="I23" i="4"/>
  <c r="H22" i="4"/>
  <c r="H18" i="4" s="1"/>
  <c r="G23" i="4"/>
  <c r="G17" i="4" s="1"/>
  <c r="G22" i="4"/>
  <c r="R184" i="8"/>
  <c r="B6" i="7"/>
  <c r="F23" i="4"/>
  <c r="E23" i="4"/>
  <c r="C23" i="4"/>
  <c r="D23" i="4"/>
  <c r="D22" i="4"/>
  <c r="F22" i="4"/>
  <c r="AK31" i="42"/>
  <c r="AF31" i="42"/>
  <c r="AM31" i="42"/>
  <c r="E31" i="42"/>
  <c r="J38" i="26"/>
  <c r="Y31" i="42"/>
  <c r="R31" i="42"/>
  <c r="H23" i="4"/>
  <c r="G12" i="24"/>
  <c r="D12" i="25" s="1"/>
  <c r="G12" i="16"/>
  <c r="D11" i="17"/>
  <c r="D11" i="8"/>
  <c r="G12" i="2"/>
  <c r="G26" i="46" l="1"/>
  <c r="G22" i="46"/>
  <c r="G18" i="46"/>
  <c r="G14" i="46"/>
  <c r="G10" i="46"/>
  <c r="G5" i="46"/>
  <c r="L30" i="46" s="1"/>
  <c r="E6" i="46"/>
  <c r="E7" i="46" s="1"/>
  <c r="E8" i="46" s="1"/>
  <c r="E9" i="46" s="1"/>
  <c r="E10" i="46" s="1"/>
  <c r="G29" i="46"/>
  <c r="G25" i="46"/>
  <c r="G21" i="46"/>
  <c r="G17" i="46"/>
  <c r="G13" i="46"/>
  <c r="G9" i="46"/>
  <c r="G8" i="46"/>
  <c r="G28" i="46"/>
  <c r="G24" i="46"/>
  <c r="G20" i="46"/>
  <c r="G16" i="46"/>
  <c r="G12" i="46"/>
  <c r="G6" i="46"/>
  <c r="G27" i="46"/>
  <c r="G23" i="46"/>
  <c r="G19" i="46"/>
  <c r="G15" i="46"/>
  <c r="G11" i="46"/>
  <c r="G7" i="46"/>
  <c r="O13" i="26"/>
  <c r="F13" i="26"/>
  <c r="E18" i="4"/>
  <c r="E31" i="4" s="1"/>
  <c r="E29" i="26" s="1"/>
  <c r="I18" i="4"/>
  <c r="I31" i="4" s="1"/>
  <c r="I29" i="26" s="1"/>
  <c r="I16" i="4"/>
  <c r="J18" i="4"/>
  <c r="J31" i="4" s="1"/>
  <c r="J29" i="26" s="1"/>
  <c r="J16" i="4"/>
  <c r="J17" i="4"/>
  <c r="J24" i="4"/>
  <c r="J19" i="4"/>
  <c r="I24" i="4"/>
  <c r="I19" i="4"/>
  <c r="I17" i="4"/>
  <c r="I15" i="4" s="1"/>
  <c r="I35" i="26" s="1"/>
  <c r="G19" i="4"/>
  <c r="H16" i="4"/>
  <c r="H24" i="4"/>
  <c r="G31" i="46"/>
  <c r="D16" i="4"/>
  <c r="D18" i="4"/>
  <c r="D24" i="4"/>
  <c r="D17" i="4"/>
  <c r="D19" i="4"/>
  <c r="C24" i="4"/>
  <c r="C19" i="4"/>
  <c r="C20" i="4" s="1"/>
  <c r="C32" i="4" s="1"/>
  <c r="C30" i="26" s="1"/>
  <c r="C17" i="4"/>
  <c r="E19" i="4"/>
  <c r="E17" i="4"/>
  <c r="E15" i="4" s="1"/>
  <c r="E35" i="26" s="1"/>
  <c r="H19" i="4"/>
  <c r="H20" i="4" s="1"/>
  <c r="H32" i="4" s="1"/>
  <c r="H17" i="4"/>
  <c r="H31" i="4"/>
  <c r="H29" i="26" s="1"/>
  <c r="F19" i="4"/>
  <c r="F17" i="4"/>
  <c r="E24" i="4"/>
  <c r="F31" i="42"/>
  <c r="K31" i="42"/>
  <c r="I31" i="42"/>
  <c r="D31" i="42"/>
  <c r="F30" i="42"/>
  <c r="F18" i="4"/>
  <c r="F16" i="4"/>
  <c r="F24" i="4"/>
  <c r="G18" i="4"/>
  <c r="G24" i="4"/>
  <c r="G16" i="4"/>
  <c r="G15" i="4" s="1"/>
  <c r="G35" i="26" s="1"/>
  <c r="G13" i="24"/>
  <c r="G14" i="24" s="1"/>
  <c r="D12" i="17"/>
  <c r="G13" i="16"/>
  <c r="D12" i="8"/>
  <c r="G13" i="2"/>
  <c r="L12" i="46" l="1"/>
  <c r="L10" i="46"/>
  <c r="J30" i="46"/>
  <c r="E11" i="46"/>
  <c r="E12" i="46" s="1"/>
  <c r="E13" i="46" s="1"/>
  <c r="E14" i="46" s="1"/>
  <c r="E15" i="46" s="1"/>
  <c r="E16" i="46" s="1"/>
  <c r="E17" i="46" s="1"/>
  <c r="E18" i="46" s="1"/>
  <c r="E19" i="46" s="1"/>
  <c r="E20" i="46" s="1"/>
  <c r="E21" i="46" s="1"/>
  <c r="E22" i="46" s="1"/>
  <c r="E23" i="46" s="1"/>
  <c r="E24" i="46" s="1"/>
  <c r="E25" i="46" s="1"/>
  <c r="E26" i="46" s="1"/>
  <c r="E27" i="46" s="1"/>
  <c r="E28" i="46" s="1"/>
  <c r="E29" i="46" s="1"/>
  <c r="E30" i="46" s="1"/>
  <c r="E31" i="46" s="1"/>
  <c r="H15" i="4"/>
  <c r="H35" i="26" s="1"/>
  <c r="J15" i="46"/>
  <c r="L15" i="46"/>
  <c r="J23" i="46"/>
  <c r="L23" i="46"/>
  <c r="J9" i="46"/>
  <c r="L9" i="46"/>
  <c r="J13" i="46"/>
  <c r="L13" i="46"/>
  <c r="J22" i="46"/>
  <c r="L22" i="46"/>
  <c r="J31" i="46"/>
  <c r="L31" i="46"/>
  <c r="J11" i="46"/>
  <c r="L11" i="46"/>
  <c r="J19" i="46"/>
  <c r="L19" i="46"/>
  <c r="J16" i="46"/>
  <c r="L16" i="46"/>
  <c r="J28" i="46"/>
  <c r="L28" i="46"/>
  <c r="J29" i="46"/>
  <c r="L29" i="46"/>
  <c r="J7" i="46"/>
  <c r="L7" i="46"/>
  <c r="L6" i="46"/>
  <c r="J6" i="46"/>
  <c r="J24" i="46"/>
  <c r="L24" i="46"/>
  <c r="J17" i="46"/>
  <c r="L17" i="46"/>
  <c r="J25" i="46"/>
  <c r="L25" i="46"/>
  <c r="J10" i="46"/>
  <c r="J18" i="46"/>
  <c r="L18" i="46"/>
  <c r="J27" i="46"/>
  <c r="L27" i="46"/>
  <c r="J12" i="46"/>
  <c r="J20" i="46"/>
  <c r="L20" i="46"/>
  <c r="J8" i="46"/>
  <c r="L8" i="46"/>
  <c r="J21" i="46"/>
  <c r="L21" i="46"/>
  <c r="J14" i="46"/>
  <c r="L14" i="46"/>
  <c r="J26" i="46"/>
  <c r="L26" i="46"/>
  <c r="E20" i="4"/>
  <c r="E32" i="4" s="1"/>
  <c r="E30" i="26" s="1"/>
  <c r="J15" i="4"/>
  <c r="J35" i="26" s="1"/>
  <c r="I20" i="4"/>
  <c r="I32" i="4" s="1"/>
  <c r="I30" i="4" s="1"/>
  <c r="I37" i="4" s="1"/>
  <c r="J20" i="4"/>
  <c r="J32" i="4" s="1"/>
  <c r="J30" i="26" s="1"/>
  <c r="G31" i="4"/>
  <c r="G29" i="26" s="1"/>
  <c r="G20" i="4"/>
  <c r="G32" i="4" s="1"/>
  <c r="F15" i="4"/>
  <c r="F35" i="26" s="1"/>
  <c r="C30" i="4"/>
  <c r="H30" i="4"/>
  <c r="H30" i="26"/>
  <c r="F31" i="4"/>
  <c r="F29" i="26" s="1"/>
  <c r="F20" i="4"/>
  <c r="F32" i="4" s="1"/>
  <c r="D15" i="4"/>
  <c r="D35" i="26" s="1"/>
  <c r="D20" i="4"/>
  <c r="D32" i="4" s="1"/>
  <c r="D31" i="4"/>
  <c r="D29" i="26" s="1"/>
  <c r="D13" i="25"/>
  <c r="G14" i="16"/>
  <c r="D13" i="17"/>
  <c r="D14" i="25"/>
  <c r="G15" i="24"/>
  <c r="D13" i="8"/>
  <c r="G14" i="2"/>
  <c r="I33" i="26" l="1"/>
  <c r="E30" i="4"/>
  <c r="I27" i="4"/>
  <c r="I25" i="26" s="1"/>
  <c r="I28" i="4"/>
  <c r="I26" i="26" s="1"/>
  <c r="I30" i="26"/>
  <c r="J30" i="4"/>
  <c r="J33" i="26" s="1"/>
  <c r="H33" i="26"/>
  <c r="H27" i="4"/>
  <c r="H28" i="4"/>
  <c r="H37" i="4"/>
  <c r="D30" i="26"/>
  <c r="D30" i="4"/>
  <c r="C27" i="4"/>
  <c r="C37" i="4"/>
  <c r="C28" i="4"/>
  <c r="B38" i="4"/>
  <c r="C38" i="4" s="1"/>
  <c r="G30" i="26"/>
  <c r="G30" i="4"/>
  <c r="F30" i="4"/>
  <c r="F30" i="26"/>
  <c r="G15" i="16"/>
  <c r="D14" i="17"/>
  <c r="D14" i="8"/>
  <c r="G15" i="2"/>
  <c r="D15" i="25"/>
  <c r="G16" i="24"/>
  <c r="E27" i="4" l="1"/>
  <c r="E21" i="22" s="1"/>
  <c r="E22" i="22" s="1"/>
  <c r="E24" i="22" s="1"/>
  <c r="E28" i="26"/>
  <c r="E37" i="4"/>
  <c r="I36" i="4"/>
  <c r="I32" i="26" s="1"/>
  <c r="I29" i="4"/>
  <c r="I27" i="26" s="1"/>
  <c r="E28" i="4"/>
  <c r="E36" i="4" s="1"/>
  <c r="E32" i="26" s="1"/>
  <c r="I21" i="14"/>
  <c r="I22" i="14" s="1"/>
  <c r="I24" i="14" s="1"/>
  <c r="I21" i="22"/>
  <c r="I22" i="22" s="1"/>
  <c r="I24" i="22" s="1"/>
  <c r="I35" i="4"/>
  <c r="I31" i="26" s="1"/>
  <c r="I11" i="4"/>
  <c r="J28" i="4"/>
  <c r="J26" i="26" s="1"/>
  <c r="J27" i="4"/>
  <c r="J25" i="26" s="1"/>
  <c r="J37" i="4"/>
  <c r="C35" i="4"/>
  <c r="C31" i="26" s="1"/>
  <c r="C21" i="22"/>
  <c r="C22" i="22" s="1"/>
  <c r="C24" i="22" s="1"/>
  <c r="C16" i="22" s="1"/>
  <c r="C25" i="26"/>
  <c r="F37" i="4"/>
  <c r="F28" i="4"/>
  <c r="F27" i="4"/>
  <c r="D28" i="4"/>
  <c r="D37" i="4"/>
  <c r="D27" i="4"/>
  <c r="G37" i="4"/>
  <c r="G27" i="4"/>
  <c r="G33" i="26"/>
  <c r="G28" i="4"/>
  <c r="H21" i="14"/>
  <c r="H22" i="14" s="1"/>
  <c r="H24" i="14" s="1"/>
  <c r="H36" i="4"/>
  <c r="H32" i="26" s="1"/>
  <c r="H11" i="4"/>
  <c r="H29" i="4"/>
  <c r="H27" i="26" s="1"/>
  <c r="H26" i="26"/>
  <c r="H21" i="22"/>
  <c r="H22" i="22" s="1"/>
  <c r="H24" i="22" s="1"/>
  <c r="H25" i="26"/>
  <c r="H35" i="4"/>
  <c r="H31" i="26" s="1"/>
  <c r="C36" i="4"/>
  <c r="C32" i="26" s="1"/>
  <c r="C11" i="4"/>
  <c r="C26" i="26"/>
  <c r="C21" i="14"/>
  <c r="C22" i="14" s="1"/>
  <c r="C24" i="14" s="1"/>
  <c r="C16" i="14" s="1"/>
  <c r="C29" i="4"/>
  <c r="C27" i="26" s="1"/>
  <c r="D15" i="17"/>
  <c r="G16" i="16"/>
  <c r="D16" i="25"/>
  <c r="G17" i="24"/>
  <c r="D15" i="8"/>
  <c r="G16" i="2"/>
  <c r="E35" i="4" l="1"/>
  <c r="E31" i="26" s="1"/>
  <c r="E25" i="26"/>
  <c r="E21" i="14"/>
  <c r="E22" i="14" s="1"/>
  <c r="E24" i="14" s="1"/>
  <c r="E29" i="4"/>
  <c r="E27" i="26" s="1"/>
  <c r="E26" i="26"/>
  <c r="E11" i="4"/>
  <c r="J36" i="4"/>
  <c r="J32" i="26" s="1"/>
  <c r="J21" i="22"/>
  <c r="J22" i="22" s="1"/>
  <c r="J24" i="22" s="1"/>
  <c r="J29" i="4"/>
  <c r="J27" i="26" s="1"/>
  <c r="J21" i="14"/>
  <c r="J22" i="14" s="1"/>
  <c r="J24" i="14" s="1"/>
  <c r="J35" i="4"/>
  <c r="J31" i="26" s="1"/>
  <c r="J11" i="4"/>
  <c r="D26" i="26"/>
  <c r="D36" i="4"/>
  <c r="D32" i="26" s="1"/>
  <c r="D11" i="4"/>
  <c r="D21" i="14"/>
  <c r="D22" i="14" s="1"/>
  <c r="D24" i="14" s="1"/>
  <c r="D29" i="4"/>
  <c r="D27" i="26" s="1"/>
  <c r="F21" i="22"/>
  <c r="F22" i="22" s="1"/>
  <c r="F24" i="22" s="1"/>
  <c r="F35" i="4"/>
  <c r="F31" i="26" s="1"/>
  <c r="F25" i="26"/>
  <c r="G11" i="4"/>
  <c r="G36" i="4"/>
  <c r="G32" i="26" s="1"/>
  <c r="G21" i="14"/>
  <c r="G22" i="14" s="1"/>
  <c r="G24" i="14" s="1"/>
  <c r="G26" i="26"/>
  <c r="G29" i="4"/>
  <c r="G27" i="26" s="1"/>
  <c r="F29" i="4"/>
  <c r="F27" i="26" s="1"/>
  <c r="F26" i="26"/>
  <c r="F11" i="4"/>
  <c r="F21" i="14"/>
  <c r="F22" i="14" s="1"/>
  <c r="F24" i="14" s="1"/>
  <c r="F36" i="4"/>
  <c r="F32" i="26" s="1"/>
  <c r="G35" i="4"/>
  <c r="G31" i="26" s="1"/>
  <c r="G25" i="26"/>
  <c r="G21" i="22"/>
  <c r="G22" i="22" s="1"/>
  <c r="G24" i="22" s="1"/>
  <c r="C12" i="22"/>
  <c r="C13" i="22" s="1"/>
  <c r="C4" i="22"/>
  <c r="D15" i="22"/>
  <c r="D11" i="22" s="1"/>
  <c r="D42" i="26" s="1"/>
  <c r="C12" i="14"/>
  <c r="C13" i="14" s="1"/>
  <c r="D15" i="14"/>
  <c r="D11" i="14" s="1"/>
  <c r="D37" i="26" s="1"/>
  <c r="C4" i="14"/>
  <c r="D35" i="4"/>
  <c r="D31" i="26" s="1"/>
  <c r="D25" i="26"/>
  <c r="D21" i="22"/>
  <c r="D22" i="22" s="1"/>
  <c r="D24" i="22" s="1"/>
  <c r="G17" i="16"/>
  <c r="D16" i="17"/>
  <c r="D16" i="8"/>
  <c r="G17" i="2"/>
  <c r="D17" i="25"/>
  <c r="G18" i="24"/>
  <c r="D16" i="22" l="1"/>
  <c r="D4" i="22" s="1"/>
  <c r="D16" i="14"/>
  <c r="D4" i="14" s="1"/>
  <c r="C38" i="26"/>
  <c r="C43" i="26"/>
  <c r="C10" i="22"/>
  <c r="D3" i="22"/>
  <c r="D9" i="22" s="1"/>
  <c r="C10" i="14"/>
  <c r="D3" i="14"/>
  <c r="D9" i="14" s="1"/>
  <c r="G18" i="16"/>
  <c r="D17" i="17"/>
  <c r="D18" i="25"/>
  <c r="G19" i="24"/>
  <c r="D17" i="8"/>
  <c r="G18" i="2"/>
  <c r="D12" i="22" l="1"/>
  <c r="D13" i="22" s="1"/>
  <c r="E15" i="22"/>
  <c r="E16" i="22" s="1"/>
  <c r="D12" i="14"/>
  <c r="D13" i="14" s="1"/>
  <c r="E15" i="14"/>
  <c r="E11" i="14" s="1"/>
  <c r="E37" i="26" s="1"/>
  <c r="E3" i="14"/>
  <c r="E9" i="14" s="1"/>
  <c r="D10" i="14"/>
  <c r="D8" i="14" s="1"/>
  <c r="D10" i="22"/>
  <c r="D8" i="22" s="1"/>
  <c r="E3" i="22"/>
  <c r="E9" i="22" s="1"/>
  <c r="G19" i="16"/>
  <c r="D18" i="17"/>
  <c r="D18" i="8"/>
  <c r="G19" i="2"/>
  <c r="D19" i="25"/>
  <c r="G20" i="24"/>
  <c r="E11" i="22" l="1"/>
  <c r="E42" i="26" s="1"/>
  <c r="D43" i="26"/>
  <c r="E16" i="14"/>
  <c r="E12" i="14" s="1"/>
  <c r="E13" i="14" s="1"/>
  <c r="D38" i="26"/>
  <c r="E4" i="22"/>
  <c r="E12" i="22"/>
  <c r="F15" i="22"/>
  <c r="G20" i="16"/>
  <c r="D19" i="17"/>
  <c r="D20" i="25"/>
  <c r="G21" i="24"/>
  <c r="D19" i="8"/>
  <c r="G20" i="2"/>
  <c r="F15" i="14" l="1"/>
  <c r="E4" i="14"/>
  <c r="E10" i="14" s="1"/>
  <c r="E8" i="14" s="1"/>
  <c r="E38" i="26"/>
  <c r="F11" i="22"/>
  <c r="F42" i="26" s="1"/>
  <c r="F16" i="22"/>
  <c r="E43" i="26"/>
  <c r="E13" i="22"/>
  <c r="E10" i="22"/>
  <c r="E8" i="22" s="1"/>
  <c r="F3" i="22"/>
  <c r="F9" i="22" s="1"/>
  <c r="F11" i="14"/>
  <c r="F37" i="26" s="1"/>
  <c r="F16" i="14"/>
  <c r="D20" i="17"/>
  <c r="G21" i="16"/>
  <c r="D20" i="8"/>
  <c r="G21" i="2"/>
  <c r="D21" i="25"/>
  <c r="G22" i="24"/>
  <c r="F3" i="14" l="1"/>
  <c r="F9" i="14" s="1"/>
  <c r="G15" i="22"/>
  <c r="F4" i="22"/>
  <c r="F12" i="22"/>
  <c r="F13" i="22" s="1"/>
  <c r="F4" i="14"/>
  <c r="G15" i="14"/>
  <c r="F12" i="14"/>
  <c r="F13" i="14" s="1"/>
  <c r="D21" i="17"/>
  <c r="G22" i="16"/>
  <c r="D22" i="25"/>
  <c r="G23" i="24"/>
  <c r="D21" i="8"/>
  <c r="G22" i="2"/>
  <c r="F38" i="26" l="1"/>
  <c r="F43" i="26"/>
  <c r="G11" i="14"/>
  <c r="G37" i="26" s="1"/>
  <c r="G16" i="14"/>
  <c r="F10" i="14"/>
  <c r="F8" i="14" s="1"/>
  <c r="G3" i="14"/>
  <c r="G9" i="14" s="1"/>
  <c r="G3" i="22"/>
  <c r="G9" i="22" s="1"/>
  <c r="F10" i="22"/>
  <c r="F8" i="22" s="1"/>
  <c r="G11" i="22"/>
  <c r="G42" i="26" s="1"/>
  <c r="G16" i="22"/>
  <c r="G23" i="16"/>
  <c r="D22" i="17"/>
  <c r="D22" i="8"/>
  <c r="G23" i="2"/>
  <c r="D23" i="25"/>
  <c r="G24" i="24"/>
  <c r="G4" i="22" l="1"/>
  <c r="H15" i="22"/>
  <c r="G12" i="22"/>
  <c r="G13" i="22" s="1"/>
  <c r="H15" i="14"/>
  <c r="G4" i="14"/>
  <c r="G12" i="14"/>
  <c r="G13" i="14" s="1"/>
  <c r="D23" i="17"/>
  <c r="G24" i="16"/>
  <c r="D24" i="25"/>
  <c r="G25" i="24"/>
  <c r="D23" i="8"/>
  <c r="G24" i="2"/>
  <c r="G43" i="26" l="1"/>
  <c r="G38" i="26"/>
  <c r="H11" i="22"/>
  <c r="H42" i="26" s="1"/>
  <c r="H16" i="22"/>
  <c r="H11" i="14"/>
  <c r="H37" i="26" s="1"/>
  <c r="H16" i="14"/>
  <c r="H3" i="14"/>
  <c r="H9" i="14" s="1"/>
  <c r="G10" i="14"/>
  <c r="G8" i="14" s="1"/>
  <c r="H3" i="22"/>
  <c r="H9" i="22" s="1"/>
  <c r="G10" i="22"/>
  <c r="G8" i="22" s="1"/>
  <c r="G25" i="16"/>
  <c r="D24" i="17"/>
  <c r="D24" i="8"/>
  <c r="G25" i="2"/>
  <c r="D25" i="25"/>
  <c r="G26" i="24"/>
  <c r="I15" i="14" l="1"/>
  <c r="H4" i="14"/>
  <c r="H12" i="14"/>
  <c r="H13" i="14" s="1"/>
  <c r="H4" i="22"/>
  <c r="I15" i="22"/>
  <c r="H12" i="22"/>
  <c r="D25" i="17"/>
  <c r="G26" i="16"/>
  <c r="D26" i="25"/>
  <c r="G27" i="24"/>
  <c r="D25" i="8"/>
  <c r="G26" i="2"/>
  <c r="H38" i="26" l="1"/>
  <c r="I11" i="22"/>
  <c r="I42" i="26" s="1"/>
  <c r="I16" i="22"/>
  <c r="I11" i="14"/>
  <c r="I37" i="26" s="1"/>
  <c r="I16" i="14"/>
  <c r="H43" i="26"/>
  <c r="H13" i="22"/>
  <c r="H10" i="22"/>
  <c r="H8" i="22" s="1"/>
  <c r="I3" i="22"/>
  <c r="I9" i="22" s="1"/>
  <c r="H10" i="14"/>
  <c r="H8" i="14" s="1"/>
  <c r="I3" i="14"/>
  <c r="I9" i="14" s="1"/>
  <c r="G27" i="16"/>
  <c r="D26" i="17"/>
  <c r="D26" i="8"/>
  <c r="G27" i="2"/>
  <c r="D27" i="25"/>
  <c r="G28" i="24"/>
  <c r="J15" i="14" l="1"/>
  <c r="J11" i="14" s="1"/>
  <c r="J13" i="14" s="1"/>
  <c r="I12" i="14"/>
  <c r="I4" i="14"/>
  <c r="I4" i="22"/>
  <c r="I12" i="22"/>
  <c r="J15" i="22"/>
  <c r="J11" i="22" s="1"/>
  <c r="J13" i="22" s="1"/>
  <c r="D27" i="17"/>
  <c r="G28" i="16"/>
  <c r="D28" i="25"/>
  <c r="G29" i="24"/>
  <c r="D27" i="8"/>
  <c r="G28" i="2"/>
  <c r="J42" i="26" l="1"/>
  <c r="J37" i="26"/>
  <c r="J3" i="22"/>
  <c r="J9" i="22" s="1"/>
  <c r="J8" i="22" s="1"/>
  <c r="I10" i="22"/>
  <c r="I8" i="22" s="1"/>
  <c r="I43" i="26"/>
  <c r="I13" i="22"/>
  <c r="I10" i="14"/>
  <c r="I8" i="14" s="1"/>
  <c r="J3" i="14"/>
  <c r="J9" i="14" s="1"/>
  <c r="J8" i="14" s="1"/>
  <c r="I38" i="26"/>
  <c r="I13" i="14"/>
  <c r="D28" i="17"/>
  <c r="G29" i="16"/>
  <c r="D28" i="8"/>
  <c r="G29" i="2"/>
  <c r="D29" i="25"/>
  <c r="G30" i="24"/>
  <c r="G7" i="48" l="1"/>
  <c r="G14" i="48"/>
  <c r="AH8" i="42"/>
  <c r="G28" i="48"/>
  <c r="AH18" i="42"/>
  <c r="G27" i="48"/>
  <c r="AH27" i="42"/>
  <c r="G11" i="48"/>
  <c r="AH12" i="42"/>
  <c r="G5" i="48"/>
  <c r="AH26" i="42"/>
  <c r="AH25" i="42"/>
  <c r="AH24" i="42"/>
  <c r="G22" i="48"/>
  <c r="AH10" i="42"/>
  <c r="AH11" i="42"/>
  <c r="G10" i="48"/>
  <c r="G19" i="48"/>
  <c r="AH7" i="42"/>
  <c r="AH17" i="42"/>
  <c r="G6" i="48"/>
  <c r="G21" i="48"/>
  <c r="G26" i="48"/>
  <c r="G16" i="48"/>
  <c r="AH14" i="42"/>
  <c r="AH16" i="42"/>
  <c r="G20" i="48"/>
  <c r="AH28" i="42"/>
  <c r="G8" i="48"/>
  <c r="G13" i="48"/>
  <c r="AH6" i="42"/>
  <c r="G9" i="48"/>
  <c r="AH20" i="42"/>
  <c r="G23" i="48"/>
  <c r="AH19" i="42"/>
  <c r="G12" i="48"/>
  <c r="AH13" i="42"/>
  <c r="AH9" i="42"/>
  <c r="G15" i="48"/>
  <c r="G24" i="48"/>
  <c r="AH22" i="42"/>
  <c r="AH23" i="42"/>
  <c r="G17" i="48"/>
  <c r="AH5" i="42"/>
  <c r="AH15" i="42"/>
  <c r="G18" i="48"/>
  <c r="AH21" i="42"/>
  <c r="G25" i="48"/>
  <c r="T10" i="42"/>
  <c r="G15" i="47"/>
  <c r="T6" i="42"/>
  <c r="T21" i="42"/>
  <c r="G24" i="47"/>
  <c r="G22" i="47"/>
  <c r="G10" i="47"/>
  <c r="G12" i="47"/>
  <c r="T17" i="42"/>
  <c r="T26" i="42"/>
  <c r="G21" i="47"/>
  <c r="G27" i="47"/>
  <c r="G5" i="47"/>
  <c r="G14" i="47"/>
  <c r="G17" i="47"/>
  <c r="T20" i="42"/>
  <c r="G20" i="47"/>
  <c r="T28" i="42"/>
  <c r="T8" i="42"/>
  <c r="T11" i="42"/>
  <c r="T13" i="42"/>
  <c r="G9" i="47"/>
  <c r="G18" i="47"/>
  <c r="T23" i="42"/>
  <c r="T25" i="42"/>
  <c r="T14" i="42"/>
  <c r="T9" i="42"/>
  <c r="G8" i="47"/>
  <c r="T5" i="42"/>
  <c r="T27" i="42"/>
  <c r="T24" i="42"/>
  <c r="G28" i="47"/>
  <c r="T16" i="42"/>
  <c r="G11" i="47"/>
  <c r="T15" i="42"/>
  <c r="G26" i="47"/>
  <c r="G25" i="47"/>
  <c r="G7" i="47"/>
  <c r="T7" i="42"/>
  <c r="T12" i="42"/>
  <c r="G23" i="47"/>
  <c r="T22" i="42"/>
  <c r="G16" i="47"/>
  <c r="G6" i="47"/>
  <c r="G13" i="47"/>
  <c r="T18" i="42"/>
  <c r="T19" i="42"/>
  <c r="G19" i="47"/>
  <c r="T30" i="42"/>
  <c r="G29" i="47"/>
  <c r="T31" i="42"/>
  <c r="G30" i="47"/>
  <c r="T29" i="42"/>
  <c r="G31" i="47"/>
  <c r="C29" i="7"/>
  <c r="C30" i="7" s="1"/>
  <c r="C34" i="7" s="1"/>
  <c r="D16" i="26" s="1"/>
  <c r="G29" i="48"/>
  <c r="D29" i="7"/>
  <c r="D30" i="7" s="1"/>
  <c r="D34" i="7" s="1"/>
  <c r="E16" i="26" s="1"/>
  <c r="G30" i="48"/>
  <c r="AH30" i="42"/>
  <c r="G31" i="48"/>
  <c r="AH29" i="42"/>
  <c r="AH31" i="42"/>
  <c r="D29" i="17"/>
  <c r="G30" i="16"/>
  <c r="D30" i="25"/>
  <c r="G31" i="24"/>
  <c r="D29" i="8"/>
  <c r="G30" i="2"/>
  <c r="L31" i="48" l="1"/>
  <c r="J31" i="48"/>
  <c r="L29" i="48"/>
  <c r="J29" i="48"/>
  <c r="L30" i="47"/>
  <c r="J30" i="47"/>
  <c r="L19" i="47"/>
  <c r="J19" i="47"/>
  <c r="L6" i="47"/>
  <c r="J6" i="47"/>
  <c r="L26" i="47"/>
  <c r="J26" i="47"/>
  <c r="L28" i="47"/>
  <c r="J28" i="47"/>
  <c r="J8" i="47"/>
  <c r="L8" i="47"/>
  <c r="L27" i="47"/>
  <c r="J27" i="47"/>
  <c r="J12" i="47"/>
  <c r="L12" i="47"/>
  <c r="L25" i="48"/>
  <c r="J25" i="48"/>
  <c r="L24" i="48"/>
  <c r="J24" i="48"/>
  <c r="J12" i="48"/>
  <c r="L12" i="48"/>
  <c r="L9" i="48"/>
  <c r="J9" i="48"/>
  <c r="L16" i="48"/>
  <c r="J16" i="48"/>
  <c r="L11" i="48"/>
  <c r="J11" i="48"/>
  <c r="J28" i="48"/>
  <c r="L28" i="48"/>
  <c r="J16" i="47"/>
  <c r="L16" i="47"/>
  <c r="L18" i="47"/>
  <c r="J18" i="47"/>
  <c r="L17" i="47"/>
  <c r="J17" i="47"/>
  <c r="L21" i="47"/>
  <c r="J21" i="47"/>
  <c r="L10" i="47"/>
  <c r="J10" i="47"/>
  <c r="L17" i="48"/>
  <c r="J17" i="48"/>
  <c r="L15" i="48"/>
  <c r="J15" i="48"/>
  <c r="L20" i="48"/>
  <c r="J20" i="48"/>
  <c r="L26" i="48"/>
  <c r="J26" i="48"/>
  <c r="L30" i="48"/>
  <c r="J30" i="48"/>
  <c r="L31" i="47"/>
  <c r="J31" i="47"/>
  <c r="L29" i="47"/>
  <c r="J29" i="47"/>
  <c r="L7" i="47"/>
  <c r="J7" i="47"/>
  <c r="L11" i="47"/>
  <c r="J11" i="47"/>
  <c r="L9" i="47"/>
  <c r="J9" i="47"/>
  <c r="L14" i="47"/>
  <c r="J14" i="47"/>
  <c r="L22" i="47"/>
  <c r="J22" i="47"/>
  <c r="L15" i="47"/>
  <c r="J15" i="47"/>
  <c r="L18" i="48"/>
  <c r="J18" i="48"/>
  <c r="L23" i="48"/>
  <c r="J23" i="48"/>
  <c r="L13" i="48"/>
  <c r="J13" i="48"/>
  <c r="L21" i="48"/>
  <c r="J21" i="48"/>
  <c r="L19" i="48"/>
  <c r="J19" i="48"/>
  <c r="L22" i="48"/>
  <c r="J22" i="48"/>
  <c r="L27" i="48"/>
  <c r="J27" i="48"/>
  <c r="L14" i="48"/>
  <c r="J14" i="48"/>
  <c r="L13" i="47"/>
  <c r="J13" i="47"/>
  <c r="L23" i="47"/>
  <c r="J23" i="47"/>
  <c r="L25" i="47"/>
  <c r="J25" i="47"/>
  <c r="J20" i="47"/>
  <c r="L20" i="47"/>
  <c r="J24" i="47"/>
  <c r="L24" i="47"/>
  <c r="L8" i="48"/>
  <c r="J8" i="48"/>
  <c r="L6" i="48"/>
  <c r="J6" i="48"/>
  <c r="L10" i="48"/>
  <c r="J10" i="48"/>
  <c r="L7" i="48"/>
  <c r="J7" i="48"/>
  <c r="F16" i="26"/>
  <c r="D30" i="17"/>
  <c r="G31" i="16"/>
  <c r="D30" i="8"/>
  <c r="G31" i="2"/>
  <c r="D31" i="25"/>
  <c r="G32" i="24"/>
  <c r="D31" i="17" l="1"/>
  <c r="G32" i="16"/>
  <c r="D32" i="25"/>
  <c r="G33" i="24"/>
  <c r="D31" i="8"/>
  <c r="G32" i="2"/>
  <c r="D32" i="17" l="1"/>
  <c r="G33" i="16"/>
  <c r="D32" i="8"/>
  <c r="G33" i="2"/>
  <c r="D33" i="25"/>
  <c r="G34" i="24"/>
  <c r="D33" i="17" l="1"/>
  <c r="G34" i="16"/>
  <c r="D34" i="25"/>
  <c r="G35" i="24"/>
  <c r="D33" i="8"/>
  <c r="G34" i="2"/>
  <c r="D34" i="17" l="1"/>
  <c r="G35" i="16"/>
  <c r="D34" i="8"/>
  <c r="G35" i="2"/>
  <c r="D35" i="25"/>
  <c r="G36" i="24"/>
  <c r="D35" i="17" l="1"/>
  <c r="G36" i="16"/>
  <c r="D36" i="25"/>
  <c r="G37" i="24"/>
  <c r="D35" i="8"/>
  <c r="G36" i="2"/>
  <c r="G37" i="16" l="1"/>
  <c r="D36" i="17"/>
  <c r="D36" i="8"/>
  <c r="G37" i="2"/>
  <c r="D37" i="25"/>
  <c r="G38" i="24"/>
  <c r="D37" i="17" l="1"/>
  <c r="G38" i="16"/>
  <c r="D38" i="25"/>
  <c r="G39" i="24"/>
  <c r="D37" i="8"/>
  <c r="G38" i="2"/>
  <c r="D38" i="17" l="1"/>
  <c r="G39" i="16"/>
  <c r="D38" i="8"/>
  <c r="G39" i="2"/>
  <c r="D39" i="25"/>
  <c r="G40" i="24"/>
  <c r="D39" i="17" l="1"/>
  <c r="G40" i="16"/>
  <c r="D40" i="25"/>
  <c r="G41" i="24"/>
  <c r="D39" i="8"/>
  <c r="G40" i="2"/>
  <c r="D40" i="17" l="1"/>
  <c r="G41" i="16"/>
  <c r="D40" i="8"/>
  <c r="G41" i="2"/>
  <c r="D41" i="25"/>
  <c r="G42" i="24"/>
  <c r="G42" i="16" l="1"/>
  <c r="D41" i="17"/>
  <c r="G43" i="24"/>
  <c r="D42" i="25"/>
  <c r="D41" i="8"/>
  <c r="G42" i="2"/>
  <c r="D42" i="17" l="1"/>
  <c r="G43" i="16"/>
  <c r="D42" i="8"/>
  <c r="G43" i="2"/>
  <c r="G44" i="24"/>
  <c r="D43" i="25"/>
  <c r="G44" i="16" l="1"/>
  <c r="D43" i="17"/>
  <c r="G45" i="24"/>
  <c r="D44" i="25"/>
  <c r="D43" i="8"/>
  <c r="G44" i="2"/>
  <c r="G45" i="16" l="1"/>
  <c r="D44" i="17"/>
  <c r="D44" i="8"/>
  <c r="G45" i="2"/>
  <c r="D45" i="25"/>
  <c r="G46" i="24"/>
  <c r="D45" i="17" l="1"/>
  <c r="G46" i="16"/>
  <c r="D46" i="25"/>
  <c r="G47" i="24"/>
  <c r="G46" i="2"/>
  <c r="D45" i="8"/>
  <c r="G47" i="16" l="1"/>
  <c r="D46" i="17"/>
  <c r="G47" i="2"/>
  <c r="D46" i="8"/>
  <c r="D47" i="25"/>
  <c r="G48" i="24"/>
  <c r="D47" i="17" l="1"/>
  <c r="G48" i="16"/>
  <c r="D48" i="25"/>
  <c r="G49" i="24"/>
  <c r="D47" i="8"/>
  <c r="G48" i="2"/>
  <c r="G49" i="16" l="1"/>
  <c r="D48" i="17"/>
  <c r="D48" i="8"/>
  <c r="G49" i="2"/>
  <c r="D49" i="25"/>
  <c r="G50" i="24"/>
  <c r="G50" i="16" l="1"/>
  <c r="D49" i="17"/>
  <c r="D50" i="25"/>
  <c r="G51" i="24"/>
  <c r="G50" i="2"/>
  <c r="D49" i="8"/>
  <c r="G51" i="16" l="1"/>
  <c r="D50" i="17"/>
  <c r="G51" i="2"/>
  <c r="D50" i="8"/>
  <c r="G52" i="24"/>
  <c r="D51" i="25"/>
  <c r="D51" i="17" l="1"/>
  <c r="G52" i="16"/>
  <c r="D52" i="25"/>
  <c r="G53" i="24"/>
  <c r="D51" i="8"/>
  <c r="G52" i="2"/>
  <c r="G53" i="16" l="1"/>
  <c r="D52" i="17"/>
  <c r="D52" i="8"/>
  <c r="G53" i="2"/>
  <c r="D53" i="25"/>
  <c r="G54" i="24"/>
  <c r="G54" i="16" l="1"/>
  <c r="D53" i="17"/>
  <c r="D54" i="25"/>
  <c r="G55" i="24"/>
  <c r="D53" i="8"/>
  <c r="G54" i="2"/>
  <c r="D54" i="17" l="1"/>
  <c r="G55" i="16"/>
  <c r="D54" i="8"/>
  <c r="G55" i="2"/>
  <c r="G56" i="24"/>
  <c r="D55" i="25"/>
  <c r="D55" i="17" l="1"/>
  <c r="G56" i="16"/>
  <c r="D55" i="8"/>
  <c r="G56" i="2"/>
  <c r="D56" i="25"/>
  <c r="G57" i="24"/>
  <c r="D56" i="17" l="1"/>
  <c r="G57" i="16"/>
  <c r="D57" i="25"/>
  <c r="G58" i="24"/>
  <c r="D56" i="8"/>
  <c r="G57" i="2"/>
  <c r="D57" i="17" l="1"/>
  <c r="G58" i="16"/>
  <c r="D57" i="8"/>
  <c r="G58" i="2"/>
  <c r="D58" i="25"/>
  <c r="G59" i="24"/>
  <c r="G59" i="16" l="1"/>
  <c r="D58" i="17"/>
  <c r="D59" i="25"/>
  <c r="G60" i="24"/>
  <c r="D58" i="8"/>
  <c r="G59" i="2"/>
  <c r="D59" i="17" l="1"/>
  <c r="G60" i="16"/>
  <c r="D59" i="8"/>
  <c r="G60" i="2"/>
  <c r="D60" i="25"/>
  <c r="G61" i="24"/>
  <c r="G61" i="16" l="1"/>
  <c r="D60" i="17"/>
  <c r="D61" i="25"/>
  <c r="G62" i="24"/>
  <c r="G61" i="2"/>
  <c r="D60" i="8"/>
  <c r="D61" i="17" l="1"/>
  <c r="G62" i="16"/>
  <c r="D62" i="25"/>
  <c r="G63" i="24"/>
  <c r="G62" i="2"/>
  <c r="D61" i="8"/>
  <c r="D62" i="17" l="1"/>
  <c r="G63" i="16"/>
  <c r="G63" i="2"/>
  <c r="D62" i="8"/>
  <c r="D63" i="25"/>
  <c r="G64" i="24"/>
  <c r="D63" i="17" l="1"/>
  <c r="G64" i="16"/>
  <c r="D64" i="25"/>
  <c r="G65" i="24"/>
  <c r="D63" i="8"/>
  <c r="G64" i="2"/>
  <c r="G65" i="16" l="1"/>
  <c r="D64" i="17"/>
  <c r="G65" i="2"/>
  <c r="D64" i="8"/>
  <c r="G66" i="24"/>
  <c r="D65" i="25"/>
  <c r="D65" i="17" l="1"/>
  <c r="G66" i="16"/>
  <c r="G67" i="24"/>
  <c r="D66" i="25"/>
  <c r="D65" i="8"/>
  <c r="G66" i="2"/>
  <c r="D66" i="17" l="1"/>
  <c r="G67" i="16"/>
  <c r="G68" i="24"/>
  <c r="D67" i="25"/>
  <c r="D66" i="8"/>
  <c r="G67" i="2"/>
  <c r="D67" i="17" l="1"/>
  <c r="G68" i="16"/>
  <c r="D67" i="8"/>
  <c r="G68" i="2"/>
  <c r="G69" i="24"/>
  <c r="D68" i="25"/>
  <c r="D68" i="17" l="1"/>
  <c r="G69" i="16"/>
  <c r="D69" i="25"/>
  <c r="G70" i="24"/>
  <c r="D68" i="8"/>
  <c r="G69" i="2"/>
  <c r="D69" i="17" l="1"/>
  <c r="G70" i="16"/>
  <c r="G70" i="2"/>
  <c r="D69" i="8"/>
  <c r="D70" i="25"/>
  <c r="G71" i="24"/>
  <c r="D70" i="17" l="1"/>
  <c r="G71" i="16"/>
  <c r="G72" i="24"/>
  <c r="D71" i="25"/>
  <c r="G71" i="2"/>
  <c r="D70" i="8"/>
  <c r="D71" i="17" l="1"/>
  <c r="G72" i="16"/>
  <c r="D71" i="8"/>
  <c r="G72" i="2"/>
  <c r="D72" i="25"/>
  <c r="G73" i="24"/>
  <c r="D72" i="17" l="1"/>
  <c r="G73" i="16"/>
  <c r="D73" i="25"/>
  <c r="G74" i="24"/>
  <c r="D72" i="8"/>
  <c r="G73" i="2"/>
  <c r="D73" i="17" l="1"/>
  <c r="G74" i="16"/>
  <c r="D73" i="8"/>
  <c r="G74" i="2"/>
  <c r="G75" i="24"/>
  <c r="D74" i="25"/>
  <c r="G75" i="16" l="1"/>
  <c r="D74" i="17"/>
  <c r="D75" i="25"/>
  <c r="G76" i="24"/>
  <c r="D74" i="8"/>
  <c r="G75" i="2"/>
  <c r="G76" i="16" l="1"/>
  <c r="D75" i="17"/>
  <c r="D75" i="8"/>
  <c r="G76" i="2"/>
  <c r="D76" i="25"/>
  <c r="G77" i="24"/>
  <c r="G77" i="16" l="1"/>
  <c r="D76" i="17"/>
  <c r="D77" i="25"/>
  <c r="G78" i="24"/>
  <c r="G77" i="2"/>
  <c r="D76" i="8"/>
  <c r="D77" i="17" l="1"/>
  <c r="G78" i="16"/>
  <c r="D77" i="8"/>
  <c r="G78" i="2"/>
  <c r="D78" i="25"/>
  <c r="G79" i="24"/>
  <c r="G79" i="16" l="1"/>
  <c r="D78" i="17"/>
  <c r="D79" i="25"/>
  <c r="G80" i="24"/>
  <c r="D78" i="8"/>
  <c r="G79" i="2"/>
  <c r="D79" i="17" l="1"/>
  <c r="G80" i="16"/>
  <c r="D79" i="8"/>
  <c r="G80" i="2"/>
  <c r="D80" i="25"/>
  <c r="G81" i="24"/>
  <c r="D80" i="17" l="1"/>
  <c r="G81" i="16"/>
  <c r="D80" i="8"/>
  <c r="G81" i="2"/>
  <c r="D81" i="25"/>
  <c r="G82" i="24"/>
  <c r="D81" i="17" l="1"/>
  <c r="G82" i="16"/>
  <c r="D82" i="25"/>
  <c r="G83" i="24"/>
  <c r="D81" i="8"/>
  <c r="G82" i="2"/>
  <c r="G83" i="16" l="1"/>
  <c r="D82" i="17"/>
  <c r="D82" i="8"/>
  <c r="G83" i="2"/>
  <c r="G84" i="24"/>
  <c r="D83" i="25"/>
  <c r="G84" i="16" l="1"/>
  <c r="D83" i="17"/>
  <c r="G85" i="24"/>
  <c r="D84" i="25"/>
  <c r="D83" i="8"/>
  <c r="G84" i="2"/>
  <c r="D84" i="17" l="1"/>
  <c r="G85" i="16"/>
  <c r="D85" i="25"/>
  <c r="G86" i="24"/>
  <c r="D84" i="8"/>
  <c r="G85" i="2"/>
  <c r="G86" i="16" l="1"/>
  <c r="D85" i="17"/>
  <c r="D85" i="8"/>
  <c r="G86" i="2"/>
  <c r="G87" i="24"/>
  <c r="D86" i="25"/>
  <c r="D86" i="17" l="1"/>
  <c r="G87" i="16"/>
  <c r="D87" i="25"/>
  <c r="G88" i="24"/>
  <c r="D86" i="8"/>
  <c r="G87" i="2"/>
  <c r="D87" i="17" l="1"/>
  <c r="G88" i="16"/>
  <c r="G88" i="2"/>
  <c r="D87" i="8"/>
  <c r="G89" i="24"/>
  <c r="D88" i="25"/>
  <c r="G89" i="16" l="1"/>
  <c r="D88" i="17"/>
  <c r="D89" i="25"/>
  <c r="G90" i="24"/>
  <c r="D88" i="8"/>
  <c r="G89" i="2"/>
  <c r="G90" i="16" l="1"/>
  <c r="D89" i="17"/>
  <c r="D89" i="8"/>
  <c r="G90" i="2"/>
  <c r="D90" i="25"/>
  <c r="G91" i="24"/>
  <c r="D90" i="17" l="1"/>
  <c r="G91" i="16"/>
  <c r="G92" i="24"/>
  <c r="D91" i="25"/>
  <c r="G91" i="2"/>
  <c r="D90" i="8"/>
  <c r="D91" i="17" l="1"/>
  <c r="G92" i="16"/>
  <c r="D91" i="8"/>
  <c r="G92" i="2"/>
  <c r="G93" i="24"/>
  <c r="D92" i="25"/>
  <c r="D92" i="17" l="1"/>
  <c r="G93" i="16"/>
  <c r="D93" i="25"/>
  <c r="G94" i="24"/>
  <c r="D92" i="8"/>
  <c r="G93" i="2"/>
  <c r="G94" i="16" l="1"/>
  <c r="D93" i="17"/>
  <c r="D93" i="8"/>
  <c r="G94" i="2"/>
  <c r="D94" i="25"/>
  <c r="G95" i="24"/>
  <c r="G95" i="16" l="1"/>
  <c r="D94" i="17"/>
  <c r="D95" i="25"/>
  <c r="G96" i="24"/>
  <c r="D94" i="8"/>
  <c r="G95" i="2"/>
  <c r="D95" i="17" l="1"/>
  <c r="G96" i="16"/>
  <c r="D96" i="25"/>
  <c r="G97" i="24"/>
  <c r="G96" i="2"/>
  <c r="D95" i="8"/>
  <c r="G97" i="16" l="1"/>
  <c r="D96" i="17"/>
  <c r="G97" i="2"/>
  <c r="D96" i="8"/>
  <c r="D97" i="25"/>
  <c r="G98" i="24"/>
  <c r="G98" i="16" l="1"/>
  <c r="D97" i="17"/>
  <c r="D98" i="25"/>
  <c r="G99" i="24"/>
  <c r="D97" i="8"/>
  <c r="G98" i="2"/>
  <c r="G99" i="16" l="1"/>
  <c r="D98" i="17"/>
  <c r="D98" i="8"/>
  <c r="G99" i="2"/>
  <c r="G100" i="24"/>
  <c r="D99" i="25"/>
  <c r="D99" i="17" l="1"/>
  <c r="G100" i="16"/>
  <c r="G101" i="24"/>
  <c r="D100" i="25"/>
  <c r="D99" i="8"/>
  <c r="G100" i="2"/>
  <c r="D100" i="17" l="1"/>
  <c r="G101" i="16"/>
  <c r="D101" i="25"/>
  <c r="G102" i="24"/>
  <c r="D100" i="8"/>
  <c r="G101" i="2"/>
  <c r="G102" i="16" l="1"/>
  <c r="D101" i="17"/>
  <c r="D101" i="8"/>
  <c r="G102" i="2"/>
  <c r="G103" i="24"/>
  <c r="D102" i="25"/>
  <c r="G103" i="16" l="1"/>
  <c r="D102" i="17"/>
  <c r="D103" i="25"/>
  <c r="G104" i="24"/>
  <c r="G103" i="2"/>
  <c r="D102" i="8"/>
  <c r="G104" i="16" l="1"/>
  <c r="D103" i="17"/>
  <c r="D104" i="25"/>
  <c r="G105" i="24"/>
  <c r="G104" i="2"/>
  <c r="D103" i="8"/>
  <c r="D104" i="17" l="1"/>
  <c r="G105" i="16"/>
  <c r="D104" i="8"/>
  <c r="G105" i="2"/>
  <c r="D105" i="25"/>
  <c r="G106" i="24"/>
  <c r="G106" i="16" l="1"/>
  <c r="D105" i="17"/>
  <c r="D106" i="25"/>
  <c r="G107" i="24"/>
  <c r="D105" i="8"/>
  <c r="G106" i="2"/>
  <c r="D106" i="17" l="1"/>
  <c r="G107" i="16"/>
  <c r="D106" i="8"/>
  <c r="G107" i="2"/>
  <c r="D107" i="25"/>
  <c r="G108" i="24"/>
  <c r="G108" i="16" l="1"/>
  <c r="D107" i="17"/>
  <c r="D107" i="8"/>
  <c r="G108" i="2"/>
  <c r="G109" i="24"/>
  <c r="D108" i="25"/>
  <c r="D108" i="17" l="1"/>
  <c r="G109" i="16"/>
  <c r="G110" i="24"/>
  <c r="D109" i="25"/>
  <c r="D108" i="8"/>
  <c r="G109" i="2"/>
  <c r="G110" i="16" l="1"/>
  <c r="D109" i="17"/>
  <c r="D110" i="25"/>
  <c r="G111" i="24"/>
  <c r="D109" i="8"/>
  <c r="G110" i="2"/>
  <c r="D110" i="17" l="1"/>
  <c r="G111" i="16"/>
  <c r="D110" i="8"/>
  <c r="G111" i="2"/>
  <c r="D111" i="25"/>
  <c r="G112" i="24"/>
  <c r="D111" i="17" l="1"/>
  <c r="G112" i="16"/>
  <c r="D112" i="25"/>
  <c r="G113" i="24"/>
  <c r="D111" i="8"/>
  <c r="G112" i="2"/>
  <c r="D112" i="17" l="1"/>
  <c r="G113" i="16"/>
  <c r="D112" i="8"/>
  <c r="G113" i="2"/>
  <c r="G114" i="24"/>
  <c r="D113" i="25"/>
  <c r="G114" i="16" l="1"/>
  <c r="D113" i="17"/>
  <c r="D114" i="25"/>
  <c r="G115" i="24"/>
  <c r="D113" i="8"/>
  <c r="G114" i="2"/>
  <c r="D114" i="17" l="1"/>
  <c r="G115" i="16"/>
  <c r="D114" i="8"/>
  <c r="G115" i="2"/>
  <c r="D115" i="25"/>
  <c r="G116" i="24"/>
  <c r="G116" i="16" l="1"/>
  <c r="D115" i="17"/>
  <c r="D116" i="25"/>
  <c r="G117" i="24"/>
  <c r="D115" i="8"/>
  <c r="G116" i="2"/>
  <c r="D116" i="17" l="1"/>
  <c r="G117" i="16"/>
  <c r="D116" i="8"/>
  <c r="G117" i="2"/>
  <c r="D117" i="25"/>
  <c r="G118" i="24"/>
  <c r="D117" i="17" l="1"/>
  <c r="G118" i="16"/>
  <c r="G119" i="24"/>
  <c r="D118" i="25"/>
  <c r="D117" i="8"/>
  <c r="G118" i="2"/>
  <c r="G119" i="16" l="1"/>
  <c r="D118" i="17"/>
  <c r="G119" i="2"/>
  <c r="D118" i="8"/>
  <c r="D119" i="25"/>
  <c r="G120" i="24"/>
  <c r="G120" i="16" l="1"/>
  <c r="D119" i="17"/>
  <c r="D120" i="25"/>
  <c r="G121" i="24"/>
  <c r="G120" i="2"/>
  <c r="D119" i="8"/>
  <c r="G121" i="16" l="1"/>
  <c r="D120" i="17"/>
  <c r="D121" i="25"/>
  <c r="G122" i="24"/>
  <c r="D120" i="8"/>
  <c r="G121" i="2"/>
  <c r="G122" i="16" l="1"/>
  <c r="D121" i="17"/>
  <c r="D121" i="8"/>
  <c r="G122" i="2"/>
  <c r="D122" i="25"/>
  <c r="G123" i="24"/>
  <c r="D122" i="17" l="1"/>
  <c r="G123" i="16"/>
  <c r="D123" i="25"/>
  <c r="G124" i="24"/>
  <c r="G123" i="2"/>
  <c r="D122" i="8"/>
  <c r="D123" i="17" l="1"/>
  <c r="G124" i="16"/>
  <c r="D123" i="8"/>
  <c r="G124" i="2"/>
  <c r="D124" i="25"/>
  <c r="G125" i="24"/>
  <c r="D124" i="17" l="1"/>
  <c r="G125" i="16"/>
  <c r="D125" i="25"/>
  <c r="G126" i="24"/>
  <c r="D124" i="8"/>
  <c r="G125" i="2"/>
  <c r="D125" i="17" l="1"/>
  <c r="G126" i="16"/>
  <c r="D126" i="25"/>
  <c r="G127" i="24"/>
  <c r="D125" i="8"/>
  <c r="G126" i="2"/>
  <c r="D126" i="17" l="1"/>
  <c r="G127" i="16"/>
  <c r="D127" i="25"/>
  <c r="G128" i="24"/>
  <c r="G127" i="2"/>
  <c r="D126" i="8"/>
  <c r="G128" i="16" l="1"/>
  <c r="D127" i="17"/>
  <c r="D127" i="8"/>
  <c r="G128" i="2"/>
  <c r="D128" i="25"/>
  <c r="G129" i="24"/>
  <c r="D128" i="17" l="1"/>
  <c r="G129" i="16"/>
  <c r="D129" i="25"/>
  <c r="G130" i="24"/>
  <c r="D128" i="8"/>
  <c r="G129" i="2"/>
  <c r="D129" i="17" l="1"/>
  <c r="G130" i="16"/>
  <c r="D129" i="8"/>
  <c r="G130" i="2"/>
  <c r="D130" i="25"/>
  <c r="G131" i="24"/>
  <c r="D130" i="17" l="1"/>
  <c r="G131" i="16"/>
  <c r="D131" i="25"/>
  <c r="G132" i="24"/>
  <c r="D130" i="8"/>
  <c r="G131" i="2"/>
  <c r="G132" i="16" l="1"/>
  <c r="D131" i="17"/>
  <c r="D131" i="8"/>
  <c r="G132" i="2"/>
  <c r="D132" i="25"/>
  <c r="G133" i="24"/>
  <c r="G133" i="16" l="1"/>
  <c r="D132" i="17"/>
  <c r="G134" i="24"/>
  <c r="D133" i="25"/>
  <c r="D132" i="8"/>
  <c r="G133" i="2"/>
  <c r="G134" i="16" l="1"/>
  <c r="D133" i="17"/>
  <c r="G135" i="24"/>
  <c r="D134" i="25"/>
  <c r="D133" i="8"/>
  <c r="G134" i="2"/>
  <c r="G135" i="16" l="1"/>
  <c r="D134" i="17"/>
  <c r="G135" i="2"/>
  <c r="D134" i="8"/>
  <c r="D135" i="25"/>
  <c r="G136" i="24"/>
  <c r="D135" i="17" l="1"/>
  <c r="G136" i="16"/>
  <c r="D136" i="25"/>
  <c r="G137" i="24"/>
  <c r="D135" i="8"/>
  <c r="G136" i="2"/>
  <c r="D136" i="17" l="1"/>
  <c r="G137" i="16"/>
  <c r="D136" i="8"/>
  <c r="G137" i="2"/>
  <c r="D137" i="25"/>
  <c r="G138" i="24"/>
  <c r="D137" i="17" l="1"/>
  <c r="G138" i="16"/>
  <c r="D138" i="25"/>
  <c r="G139" i="24"/>
  <c r="D137" i="8"/>
  <c r="G138" i="2"/>
  <c r="G139" i="16" l="1"/>
  <c r="D138" i="17"/>
  <c r="D138" i="8"/>
  <c r="G139" i="2"/>
  <c r="D139" i="25"/>
  <c r="G140" i="24"/>
  <c r="G140" i="16" l="1"/>
  <c r="D139" i="17"/>
  <c r="D140" i="25"/>
  <c r="G141" i="24"/>
  <c r="D139" i="8"/>
  <c r="G140" i="2"/>
  <c r="D140" i="17" l="1"/>
  <c r="G141" i="16"/>
  <c r="D140" i="8"/>
  <c r="G141" i="2"/>
  <c r="G142" i="24"/>
  <c r="D141" i="25"/>
  <c r="D141" i="17" l="1"/>
  <c r="G142" i="16"/>
  <c r="G143" i="24"/>
  <c r="D142" i="25"/>
  <c r="D141" i="8"/>
  <c r="G142" i="2"/>
  <c r="D142" i="17" l="1"/>
  <c r="G143" i="16"/>
  <c r="D143" i="25"/>
  <c r="G144" i="24"/>
  <c r="D142" i="8"/>
  <c r="G143" i="2"/>
  <c r="D143" i="17" l="1"/>
  <c r="G144" i="16"/>
  <c r="D143" i="8"/>
  <c r="G144" i="2"/>
  <c r="D144" i="25"/>
  <c r="G145" i="24"/>
  <c r="G145" i="16" l="1"/>
  <c r="D144" i="17"/>
  <c r="D145" i="25"/>
  <c r="G146" i="24"/>
  <c r="D144" i="8"/>
  <c r="G145" i="2"/>
  <c r="G146" i="16" l="1"/>
  <c r="D145" i="17"/>
  <c r="D145" i="8"/>
  <c r="G146" i="2"/>
  <c r="D146" i="25"/>
  <c r="G147" i="24"/>
  <c r="D146" i="17" l="1"/>
  <c r="G147" i="16"/>
  <c r="D147" i="25"/>
  <c r="G148" i="24"/>
  <c r="D146" i="8"/>
  <c r="G147" i="2"/>
  <c r="G148" i="16" l="1"/>
  <c r="D147" i="17"/>
  <c r="D147" i="8"/>
  <c r="G148" i="2"/>
  <c r="G149" i="24"/>
  <c r="D148" i="25"/>
  <c r="D148" i="17" l="1"/>
  <c r="G149" i="16"/>
  <c r="D149" i="25"/>
  <c r="G150" i="24"/>
  <c r="D148" i="8"/>
  <c r="G149" i="2"/>
  <c r="G150" i="16" l="1"/>
  <c r="D149" i="17"/>
  <c r="D149" i="8"/>
  <c r="G150" i="2"/>
  <c r="G151" i="24"/>
  <c r="D150" i="25"/>
  <c r="G151" i="16" l="1"/>
  <c r="D150" i="17"/>
  <c r="G151" i="2"/>
  <c r="D150" i="8"/>
  <c r="D151" i="25"/>
  <c r="G152" i="24"/>
  <c r="G152" i="16" l="1"/>
  <c r="D151" i="17"/>
  <c r="D151" i="8"/>
  <c r="G152" i="2"/>
  <c r="D152" i="25"/>
  <c r="G153" i="24"/>
  <c r="D152" i="17" l="1"/>
  <c r="G153" i="16"/>
  <c r="D153" i="25"/>
  <c r="G154" i="24"/>
  <c r="G153" i="2"/>
  <c r="D152" i="8"/>
  <c r="G154" i="16" l="1"/>
  <c r="D153" i="17"/>
  <c r="D154" i="25"/>
  <c r="G155" i="24"/>
  <c r="D153" i="8"/>
  <c r="G154" i="2"/>
  <c r="D154" i="17" l="1"/>
  <c r="G155" i="16"/>
  <c r="D154" i="8"/>
  <c r="G155" i="2"/>
  <c r="D155" i="25"/>
  <c r="G156" i="24"/>
  <c r="D155" i="17" l="1"/>
  <c r="G156" i="16"/>
  <c r="D155" i="8"/>
  <c r="G156" i="2"/>
  <c r="D156" i="25"/>
  <c r="G157" i="24"/>
  <c r="G157" i="16" l="1"/>
  <c r="D156" i="17"/>
  <c r="G158" i="24"/>
  <c r="D157" i="25"/>
  <c r="D156" i="8"/>
  <c r="G157" i="2"/>
  <c r="G158" i="16" l="1"/>
  <c r="D157" i="17"/>
  <c r="D157" i="8"/>
  <c r="G158" i="2"/>
  <c r="G159" i="24"/>
  <c r="D158" i="25"/>
  <c r="G159" i="16" l="1"/>
  <c r="D158" i="17"/>
  <c r="D159" i="25"/>
  <c r="G160" i="24"/>
  <c r="D158" i="8"/>
  <c r="G159" i="2"/>
  <c r="G160" i="16" l="1"/>
  <c r="D159" i="17"/>
  <c r="D159" i="8"/>
  <c r="G160" i="2"/>
  <c r="D160" i="25"/>
  <c r="G161" i="24"/>
  <c r="D160" i="17" l="1"/>
  <c r="G161" i="16"/>
  <c r="D161" i="25"/>
  <c r="G162" i="24"/>
  <c r="D160" i="8"/>
  <c r="G161" i="2"/>
  <c r="G162" i="16" l="1"/>
  <c r="D161" i="17"/>
  <c r="G162" i="2"/>
  <c r="D161" i="8"/>
  <c r="D162" i="25"/>
  <c r="G163" i="24"/>
  <c r="D162" i="17" l="1"/>
  <c r="G163" i="16"/>
  <c r="D163" i="25"/>
  <c r="G164" i="24"/>
  <c r="D162" i="8"/>
  <c r="G163" i="2"/>
  <c r="D163" i="17" l="1"/>
  <c r="G164" i="16"/>
  <c r="G164" i="2"/>
  <c r="D163" i="8"/>
  <c r="D164" i="25"/>
  <c r="G165" i="24"/>
  <c r="G165" i="16" l="1"/>
  <c r="D164" i="17"/>
  <c r="G165" i="2"/>
  <c r="D164" i="8"/>
  <c r="G166" i="24"/>
  <c r="D165" i="25"/>
  <c r="G166" i="16" l="1"/>
  <c r="D165" i="17"/>
  <c r="G167" i="24"/>
  <c r="D166" i="25"/>
  <c r="D165" i="8"/>
  <c r="G166" i="2"/>
  <c r="G167" i="16" l="1"/>
  <c r="D166" i="17"/>
  <c r="D166" i="8"/>
  <c r="G167" i="2"/>
  <c r="D167" i="25"/>
  <c r="G168" i="24"/>
  <c r="G168" i="16" l="1"/>
  <c r="D167" i="17"/>
  <c r="G169" i="24"/>
  <c r="D168" i="25"/>
  <c r="D167" i="8"/>
  <c r="G168" i="2"/>
  <c r="D168" i="17" l="1"/>
  <c r="G169" i="16"/>
  <c r="G169" i="2"/>
  <c r="D168" i="8"/>
  <c r="D169" i="25"/>
  <c r="G170" i="24"/>
  <c r="G171" i="24" l="1"/>
  <c r="D170" i="25"/>
  <c r="D169" i="17"/>
  <c r="G170" i="16"/>
  <c r="D169" i="8"/>
  <c r="G170" i="2"/>
  <c r="G171" i="2" l="1"/>
  <c r="D170" i="8"/>
  <c r="G171" i="16"/>
  <c r="D170" i="17"/>
  <c r="G172" i="24"/>
  <c r="D171" i="25"/>
  <c r="G173" i="24" l="1"/>
  <c r="D172" i="25"/>
  <c r="G172" i="16"/>
  <c r="D171" i="17"/>
  <c r="G172" i="2"/>
  <c r="D171" i="8"/>
  <c r="G173" i="2" l="1"/>
  <c r="D172" i="8"/>
  <c r="G173" i="16"/>
  <c r="D172" i="17"/>
  <c r="G174" i="24"/>
  <c r="D173" i="25"/>
  <c r="G174" i="16" l="1"/>
  <c r="D173" i="17"/>
  <c r="G174" i="2"/>
  <c r="D173" i="8"/>
  <c r="G175" i="24"/>
  <c r="D174" i="25"/>
  <c r="G176" i="24" l="1"/>
  <c r="D175" i="25"/>
  <c r="G175" i="2"/>
  <c r="D174" i="8"/>
  <c r="G175" i="16"/>
  <c r="D174" i="17"/>
  <c r="G176" i="2" l="1"/>
  <c r="D175" i="8"/>
  <c r="G176" i="16"/>
  <c r="D175" i="17"/>
  <c r="G177" i="24"/>
  <c r="D176" i="25"/>
  <c r="G178" i="24" l="1"/>
  <c r="D177" i="25"/>
  <c r="G177" i="16"/>
  <c r="D176" i="17"/>
  <c r="G177" i="2"/>
  <c r="D176" i="8"/>
  <c r="G178" i="16" l="1"/>
  <c r="D177" i="17"/>
  <c r="G178" i="2"/>
  <c r="D177" i="8"/>
  <c r="G179" i="24"/>
  <c r="D178" i="25"/>
  <c r="G180" i="24" l="1"/>
  <c r="D179" i="25"/>
  <c r="G179" i="2"/>
  <c r="D178" i="8"/>
  <c r="G179" i="16"/>
  <c r="D178" i="17"/>
  <c r="G180" i="2" l="1"/>
  <c r="D179" i="8"/>
  <c r="G181" i="24"/>
  <c r="D180" i="25"/>
  <c r="G180" i="16"/>
  <c r="D179" i="17"/>
  <c r="G181" i="16" l="1"/>
  <c r="D180" i="17"/>
  <c r="G182" i="24"/>
  <c r="D181" i="25"/>
  <c r="G181" i="2"/>
  <c r="D180" i="8"/>
  <c r="D182" i="25" l="1"/>
  <c r="G183" i="24"/>
  <c r="G182" i="2"/>
  <c r="D181" i="8"/>
  <c r="G182" i="16"/>
  <c r="D181" i="17"/>
  <c r="G184" i="24" l="1"/>
  <c r="D183" i="25"/>
  <c r="D182" i="17"/>
  <c r="G183" i="16"/>
  <c r="D182" i="8"/>
  <c r="G183" i="2"/>
  <c r="G184" i="16" l="1"/>
  <c r="D183" i="17"/>
  <c r="G184" i="2"/>
  <c r="D183" i="8"/>
  <c r="G185" i="24"/>
  <c r="D185" i="25" s="1"/>
  <c r="D184" i="25"/>
  <c r="E9" i="23" s="1"/>
  <c r="E7" i="23" l="1"/>
  <c r="E8" i="23" s="1"/>
  <c r="G185" i="2"/>
  <c r="D185" i="8" s="1"/>
  <c r="D184" i="8"/>
  <c r="G185" i="16"/>
  <c r="D185" i="17" s="1"/>
  <c r="D184" i="17"/>
  <c r="E7" i="15" s="1"/>
  <c r="E7" i="7" l="1"/>
  <c r="G7" i="23" s="1"/>
  <c r="C7" i="23" s="1"/>
  <c r="E9" i="7"/>
  <c r="E8" i="15"/>
  <c r="E9" i="15"/>
  <c r="K75" i="24" l="1"/>
  <c r="L75" i="24" s="1"/>
  <c r="K184" i="24"/>
  <c r="K183" i="24"/>
  <c r="K185" i="24"/>
  <c r="K117" i="24"/>
  <c r="K163" i="24"/>
  <c r="K123" i="24"/>
  <c r="K21" i="24"/>
  <c r="K104" i="24"/>
  <c r="K45" i="24"/>
  <c r="K111" i="24"/>
  <c r="L111" i="24" s="1"/>
  <c r="K12" i="24"/>
  <c r="K85" i="24"/>
  <c r="K116" i="24"/>
  <c r="K170" i="24"/>
  <c r="K153" i="24"/>
  <c r="K37" i="24"/>
  <c r="K154" i="24"/>
  <c r="K73" i="24"/>
  <c r="K174" i="24"/>
  <c r="K65" i="24"/>
  <c r="K113" i="24"/>
  <c r="K13" i="24"/>
  <c r="K129" i="24"/>
  <c r="K44" i="24"/>
  <c r="K122" i="24"/>
  <c r="K164" i="24"/>
  <c r="K136" i="24"/>
  <c r="K125" i="24"/>
  <c r="K26" i="24"/>
  <c r="K115" i="24"/>
  <c r="K24" i="24"/>
  <c r="K167" i="24"/>
  <c r="K161" i="24"/>
  <c r="K91" i="24"/>
  <c r="K118" i="24"/>
  <c r="C7" i="7"/>
  <c r="K10" i="2" s="1"/>
  <c r="K130" i="24"/>
  <c r="K94" i="24"/>
  <c r="K93" i="24"/>
  <c r="K149" i="24"/>
  <c r="K71" i="24"/>
  <c r="K27" i="24"/>
  <c r="K181" i="24"/>
  <c r="K53" i="24"/>
  <c r="E8" i="7"/>
  <c r="G8" i="23" s="1"/>
  <c r="C8" i="23" s="1"/>
  <c r="K97" i="24"/>
  <c r="K102" i="24"/>
  <c r="K66" i="24"/>
  <c r="K147" i="24"/>
  <c r="K30" i="24"/>
  <c r="K87" i="24"/>
  <c r="K151" i="24"/>
  <c r="K17" i="24"/>
  <c r="K80" i="24"/>
  <c r="K95" i="24"/>
  <c r="K79" i="24"/>
  <c r="K127" i="24"/>
  <c r="K146" i="24"/>
  <c r="K33" i="24"/>
  <c r="K100" i="24"/>
  <c r="K20" i="24"/>
  <c r="K52" i="24"/>
  <c r="K109" i="24"/>
  <c r="K166" i="24"/>
  <c r="K139" i="24"/>
  <c r="K98" i="24"/>
  <c r="K155" i="24"/>
  <c r="K16" i="24"/>
  <c r="K59" i="24"/>
  <c r="K132" i="24"/>
  <c r="K159" i="24"/>
  <c r="K29" i="24"/>
  <c r="K107" i="24"/>
  <c r="K54" i="24"/>
  <c r="K133" i="24"/>
  <c r="K138" i="24"/>
  <c r="K42" i="24"/>
  <c r="K106" i="24"/>
  <c r="K168" i="24"/>
  <c r="K182" i="24"/>
  <c r="K10" i="24"/>
  <c r="K82" i="24"/>
  <c r="K78" i="24"/>
  <c r="K176" i="24"/>
  <c r="K134" i="24"/>
  <c r="K43" i="24"/>
  <c r="K172" i="24"/>
  <c r="K143" i="24"/>
  <c r="K64" i="24"/>
  <c r="K169" i="24"/>
  <c r="K6" i="24"/>
  <c r="K36" i="24"/>
  <c r="K38" i="24"/>
  <c r="K165" i="24"/>
  <c r="K31" i="24"/>
  <c r="K137" i="24"/>
  <c r="K135" i="24"/>
  <c r="K119" i="24"/>
  <c r="K7" i="24"/>
  <c r="K40" i="24"/>
  <c r="K8" i="24"/>
  <c r="K121" i="24"/>
  <c r="K67" i="24"/>
  <c r="K173" i="24"/>
  <c r="K90" i="24"/>
  <c r="K120" i="24"/>
  <c r="K124" i="24"/>
  <c r="K171" i="24"/>
  <c r="K177" i="24"/>
  <c r="K68" i="24"/>
  <c r="K22" i="24"/>
  <c r="K14" i="24"/>
  <c r="K57" i="24"/>
  <c r="K83" i="24"/>
  <c r="K62" i="24"/>
  <c r="K101" i="24"/>
  <c r="K105" i="24"/>
  <c r="K175" i="24"/>
  <c r="K81" i="24"/>
  <c r="K32" i="24"/>
  <c r="K41" i="24"/>
  <c r="K86" i="24"/>
  <c r="K89" i="24"/>
  <c r="K178" i="24"/>
  <c r="K18" i="24"/>
  <c r="K63" i="24"/>
  <c r="K141" i="24"/>
  <c r="K19" i="24"/>
  <c r="K148" i="24"/>
  <c r="K25" i="24"/>
  <c r="K47" i="24"/>
  <c r="K179" i="24"/>
  <c r="K46" i="24"/>
  <c r="K126" i="24"/>
  <c r="K150" i="24"/>
  <c r="K162" i="24"/>
  <c r="K9" i="24"/>
  <c r="K180" i="24"/>
  <c r="K99" i="24"/>
  <c r="K156" i="24"/>
  <c r="K51" i="24"/>
  <c r="K61" i="24"/>
  <c r="K15" i="24"/>
  <c r="K145" i="24"/>
  <c r="K34" i="24"/>
  <c r="K103" i="24"/>
  <c r="K152" i="24"/>
  <c r="K108" i="24"/>
  <c r="K35" i="24"/>
  <c r="K110" i="24"/>
  <c r="K55" i="24"/>
  <c r="K60" i="24"/>
  <c r="K58" i="24"/>
  <c r="K28" i="24"/>
  <c r="K11" i="24"/>
  <c r="K48" i="24"/>
  <c r="K157" i="24"/>
  <c r="K140" i="24"/>
  <c r="K160" i="24"/>
  <c r="K70" i="24"/>
  <c r="K49" i="24"/>
  <c r="K112" i="24"/>
  <c r="K50" i="24"/>
  <c r="K56" i="24"/>
  <c r="K77" i="24"/>
  <c r="K114" i="24"/>
  <c r="K72" i="24"/>
  <c r="K88" i="24"/>
  <c r="K39" i="24"/>
  <c r="K92" i="24"/>
  <c r="K128" i="24"/>
  <c r="K5" i="24"/>
  <c r="K23" i="24"/>
  <c r="K76" i="24"/>
  <c r="K69" i="24"/>
  <c r="K131" i="24"/>
  <c r="K142" i="24"/>
  <c r="K84" i="24"/>
  <c r="K74" i="24"/>
  <c r="K96" i="24"/>
  <c r="G7" i="15"/>
  <c r="C7" i="15" s="1"/>
  <c r="K4" i="24"/>
  <c r="K144" i="24"/>
  <c r="K158" i="24"/>
  <c r="G8" i="15" l="1"/>
  <c r="C8" i="15" s="1"/>
  <c r="K140" i="2"/>
  <c r="K52" i="2"/>
  <c r="K154" i="2"/>
  <c r="K161" i="2"/>
  <c r="L75" i="25"/>
  <c r="N75" i="25" s="1"/>
  <c r="K29" i="2"/>
  <c r="K86" i="2"/>
  <c r="M86" i="2" s="1"/>
  <c r="M86" i="8" s="1"/>
  <c r="Q86" i="8" s="1"/>
  <c r="K124" i="2"/>
  <c r="M124" i="2" s="1"/>
  <c r="M124" i="8" s="1"/>
  <c r="Q124" i="8" s="1"/>
  <c r="K162" i="2"/>
  <c r="M162" i="2" s="1"/>
  <c r="M162" i="8" s="1"/>
  <c r="Q162" i="8" s="1"/>
  <c r="K4" i="2"/>
  <c r="M4" i="2" s="1"/>
  <c r="K91" i="2"/>
  <c r="L91" i="8" s="1"/>
  <c r="N91" i="8" s="1"/>
  <c r="K114" i="2"/>
  <c r="L114" i="8" s="1"/>
  <c r="N114" i="8" s="1"/>
  <c r="K178" i="2"/>
  <c r="L178" i="8" s="1"/>
  <c r="N178" i="8" s="1"/>
  <c r="K80" i="2"/>
  <c r="K145" i="2"/>
  <c r="M145" i="2" s="1"/>
  <c r="M145" i="8" s="1"/>
  <c r="Q145" i="8" s="1"/>
  <c r="K131" i="2"/>
  <c r="M131" i="2" s="1"/>
  <c r="M131" i="8" s="1"/>
  <c r="Q131" i="8" s="1"/>
  <c r="K121" i="2"/>
  <c r="M121" i="2" s="1"/>
  <c r="M121" i="8" s="1"/>
  <c r="Q121" i="8" s="1"/>
  <c r="K159" i="2"/>
  <c r="M159" i="2" s="1"/>
  <c r="M159" i="8" s="1"/>
  <c r="Q159" i="8" s="1"/>
  <c r="K130" i="2"/>
  <c r="L130" i="2" s="1"/>
  <c r="K173" i="2"/>
  <c r="M173" i="2" s="1"/>
  <c r="M173" i="8" s="1"/>
  <c r="Q173" i="8" s="1"/>
  <c r="K75" i="2"/>
  <c r="L75" i="8" s="1"/>
  <c r="N75" i="8" s="1"/>
  <c r="K83" i="2"/>
  <c r="L83" i="8" s="1"/>
  <c r="N83" i="8" s="1"/>
  <c r="M75" i="24"/>
  <c r="M75" i="25" s="1"/>
  <c r="Q75" i="25" s="1"/>
  <c r="K41" i="2"/>
  <c r="L41" i="2" s="1"/>
  <c r="K136" i="2"/>
  <c r="L136" i="8" s="1"/>
  <c r="N136" i="8" s="1"/>
  <c r="K64" i="2"/>
  <c r="M64" i="2" s="1"/>
  <c r="M64" i="8" s="1"/>
  <c r="Q64" i="8" s="1"/>
  <c r="K19" i="2"/>
  <c r="M19" i="2" s="1"/>
  <c r="M19" i="8" s="1"/>
  <c r="Q19" i="8" s="1"/>
  <c r="K78" i="2"/>
  <c r="L78" i="8" s="1"/>
  <c r="N78" i="8" s="1"/>
  <c r="K59" i="2"/>
  <c r="M59" i="2" s="1"/>
  <c r="M59" i="8" s="1"/>
  <c r="Q59" i="8" s="1"/>
  <c r="K63" i="2"/>
  <c r="L63" i="8" s="1"/>
  <c r="N63" i="8" s="1"/>
  <c r="K46" i="2"/>
  <c r="L46" i="8" s="1"/>
  <c r="N46" i="8" s="1"/>
  <c r="K61" i="2"/>
  <c r="M61" i="2" s="1"/>
  <c r="M61" i="8" s="1"/>
  <c r="Q61" i="8" s="1"/>
  <c r="K28" i="2"/>
  <c r="L28" i="8" s="1"/>
  <c r="N28" i="8" s="1"/>
  <c r="K105" i="2"/>
  <c r="L105" i="2" s="1"/>
  <c r="K20" i="2"/>
  <c r="L20" i="2" s="1"/>
  <c r="K68" i="2"/>
  <c r="M68" i="2" s="1"/>
  <c r="M68" i="8" s="1"/>
  <c r="Q68" i="8" s="1"/>
  <c r="K165" i="2"/>
  <c r="M165" i="2" s="1"/>
  <c r="M165" i="8" s="1"/>
  <c r="K48" i="2"/>
  <c r="M48" i="2" s="1"/>
  <c r="M48" i="8" s="1"/>
  <c r="Q48" i="8" s="1"/>
  <c r="K15" i="2"/>
  <c r="M15" i="2" s="1"/>
  <c r="M15" i="8" s="1"/>
  <c r="Q15" i="8" s="1"/>
  <c r="K106" i="2"/>
  <c r="L106" i="2" s="1"/>
  <c r="K42" i="2"/>
  <c r="L42" i="8" s="1"/>
  <c r="N42" i="8" s="1"/>
  <c r="K11" i="2"/>
  <c r="L11" i="2" s="1"/>
  <c r="K133" i="2"/>
  <c r="L133" i="8" s="1"/>
  <c r="N133" i="8" s="1"/>
  <c r="K66" i="2"/>
  <c r="L66" i="2" s="1"/>
  <c r="K65" i="2"/>
  <c r="L65" i="2" s="1"/>
  <c r="K7" i="2"/>
  <c r="M7" i="2" s="1"/>
  <c r="M7" i="8" s="1"/>
  <c r="Q7" i="8" s="1"/>
  <c r="K76" i="2"/>
  <c r="M76" i="2" s="1"/>
  <c r="M76" i="8" s="1"/>
  <c r="Q76" i="8" s="1"/>
  <c r="K113" i="2"/>
  <c r="L113" i="8" s="1"/>
  <c r="N113" i="8" s="1"/>
  <c r="K93" i="2"/>
  <c r="L93" i="2" s="1"/>
  <c r="K110" i="2"/>
  <c r="L110" i="8" s="1"/>
  <c r="N110" i="8" s="1"/>
  <c r="K94" i="2"/>
  <c r="L94" i="2" s="1"/>
  <c r="K139" i="2"/>
  <c r="M139" i="2" s="1"/>
  <c r="M139" i="8" s="1"/>
  <c r="Q139" i="8" s="1"/>
  <c r="K33" i="2"/>
  <c r="L33" i="8" s="1"/>
  <c r="N33" i="8" s="1"/>
  <c r="K148" i="2"/>
  <c r="M148" i="2" s="1"/>
  <c r="M148" i="8" s="1"/>
  <c r="Q148" i="8" s="1"/>
  <c r="L183" i="25"/>
  <c r="N183" i="25" s="1"/>
  <c r="L183" i="24"/>
  <c r="M183" i="24"/>
  <c r="M183" i="25" s="1"/>
  <c r="Q183" i="25" s="1"/>
  <c r="L184" i="25"/>
  <c r="N184" i="25" s="1"/>
  <c r="M184" i="24"/>
  <c r="M184" i="25" s="1"/>
  <c r="Q184" i="25" s="1"/>
  <c r="L184" i="24"/>
  <c r="L185" i="25"/>
  <c r="N185" i="25" s="1"/>
  <c r="M185" i="24"/>
  <c r="M185" i="25" s="1"/>
  <c r="Q185" i="25" s="1"/>
  <c r="L185" i="24"/>
  <c r="K112" i="16"/>
  <c r="L112" i="16" s="1"/>
  <c r="K183" i="16"/>
  <c r="K184" i="16"/>
  <c r="K185" i="16"/>
  <c r="K132" i="2"/>
  <c r="L132" i="2" s="1"/>
  <c r="K185" i="2"/>
  <c r="K184" i="2"/>
  <c r="K183" i="2"/>
  <c r="K115" i="16"/>
  <c r="L115" i="16" s="1"/>
  <c r="K10" i="16"/>
  <c r="M10" i="16" s="1"/>
  <c r="M10" i="17" s="1"/>
  <c r="Q10" i="17" s="1"/>
  <c r="K38" i="16"/>
  <c r="L38" i="16" s="1"/>
  <c r="K129" i="16"/>
  <c r="L129" i="16" s="1"/>
  <c r="K25" i="16"/>
  <c r="L25" i="17" s="1"/>
  <c r="N25" i="17" s="1"/>
  <c r="K161" i="16"/>
  <c r="L161" i="16" s="1"/>
  <c r="K83" i="16"/>
  <c r="L83" i="16" s="1"/>
  <c r="K134" i="16"/>
  <c r="M134" i="16" s="1"/>
  <c r="M134" i="17" s="1"/>
  <c r="Q134" i="17" s="1"/>
  <c r="K173" i="16"/>
  <c r="L173" i="16" s="1"/>
  <c r="K78" i="16"/>
  <c r="L78" i="17" s="1"/>
  <c r="N78" i="17" s="1"/>
  <c r="K137" i="16"/>
  <c r="M137" i="16" s="1"/>
  <c r="M137" i="17" s="1"/>
  <c r="K51" i="2"/>
  <c r="M51" i="2" s="1"/>
  <c r="M51" i="8" s="1"/>
  <c r="Q51" i="8" s="1"/>
  <c r="K134" i="2"/>
  <c r="L134" i="2" s="1"/>
  <c r="K104" i="2"/>
  <c r="M104" i="2" s="1"/>
  <c r="M104" i="8" s="1"/>
  <c r="Q104" i="8" s="1"/>
  <c r="K103" i="2"/>
  <c r="L103" i="2" s="1"/>
  <c r="K55" i="2"/>
  <c r="M55" i="2" s="1"/>
  <c r="M55" i="8" s="1"/>
  <c r="Q55" i="8" s="1"/>
  <c r="K98" i="2"/>
  <c r="L98" i="8" s="1"/>
  <c r="N98" i="8" s="1"/>
  <c r="K18" i="2"/>
  <c r="L18" i="8" s="1"/>
  <c r="N18" i="8" s="1"/>
  <c r="K72" i="2"/>
  <c r="M72" i="2" s="1"/>
  <c r="M72" i="8" s="1"/>
  <c r="Q72" i="8" s="1"/>
  <c r="K57" i="2"/>
  <c r="M57" i="2" s="1"/>
  <c r="M57" i="8" s="1"/>
  <c r="Q57" i="8" s="1"/>
  <c r="K138" i="2"/>
  <c r="L138" i="2" s="1"/>
  <c r="K36" i="2"/>
  <c r="L36" i="8" s="1"/>
  <c r="N36" i="8" s="1"/>
  <c r="K89" i="2"/>
  <c r="L89" i="2" s="1"/>
  <c r="K92" i="2"/>
  <c r="L92" i="8" s="1"/>
  <c r="N92" i="8" s="1"/>
  <c r="K152" i="2"/>
  <c r="M152" i="2" s="1"/>
  <c r="M152" i="8" s="1"/>
  <c r="Q152" i="8" s="1"/>
  <c r="K112" i="2"/>
  <c r="L112" i="2" s="1"/>
  <c r="K85" i="16"/>
  <c r="L85" i="16" s="1"/>
  <c r="K43" i="16"/>
  <c r="L43" i="17" s="1"/>
  <c r="N43" i="17" s="1"/>
  <c r="K16" i="16"/>
  <c r="L16" i="16" s="1"/>
  <c r="K91" i="16"/>
  <c r="L91" i="16" s="1"/>
  <c r="K42" i="16"/>
  <c r="L42" i="16" s="1"/>
  <c r="K50" i="2"/>
  <c r="L50" i="8" s="1"/>
  <c r="N50" i="8" s="1"/>
  <c r="K17" i="2"/>
  <c r="L17" i="2" s="1"/>
  <c r="K107" i="2"/>
  <c r="L107" i="8" s="1"/>
  <c r="N107" i="8" s="1"/>
  <c r="K27" i="2"/>
  <c r="M27" i="2" s="1"/>
  <c r="M27" i="8" s="1"/>
  <c r="Q27" i="8" s="1"/>
  <c r="K125" i="2"/>
  <c r="L125" i="8" s="1"/>
  <c r="N125" i="8" s="1"/>
  <c r="K120" i="2"/>
  <c r="M120" i="2" s="1"/>
  <c r="M120" i="8" s="1"/>
  <c r="Q120" i="8" s="1"/>
  <c r="K82" i="2"/>
  <c r="L82" i="2" s="1"/>
  <c r="K172" i="2"/>
  <c r="L172" i="2" s="1"/>
  <c r="K9" i="2"/>
  <c r="M9" i="2" s="1"/>
  <c r="M9" i="8" s="1"/>
  <c r="Q9" i="8" s="1"/>
  <c r="K109" i="2"/>
  <c r="M109" i="2" s="1"/>
  <c r="M109" i="8" s="1"/>
  <c r="K56" i="2"/>
  <c r="M56" i="2" s="1"/>
  <c r="M56" i="8" s="1"/>
  <c r="Q56" i="8" s="1"/>
  <c r="K169" i="16"/>
  <c r="L169" i="16" s="1"/>
  <c r="K136" i="16"/>
  <c r="L136" i="16" s="1"/>
  <c r="K119" i="16"/>
  <c r="L119" i="16" s="1"/>
  <c r="K144" i="16"/>
  <c r="M144" i="16" s="1"/>
  <c r="M144" i="17" s="1"/>
  <c r="K70" i="16"/>
  <c r="M70" i="16" s="1"/>
  <c r="M70" i="17" s="1"/>
  <c r="Q70" i="17" s="1"/>
  <c r="K70" i="2"/>
  <c r="L70" i="8" s="1"/>
  <c r="N70" i="8" s="1"/>
  <c r="K137" i="2"/>
  <c r="L137" i="2" s="1"/>
  <c r="K39" i="2"/>
  <c r="M39" i="2" s="1"/>
  <c r="M39" i="8" s="1"/>
  <c r="K169" i="2"/>
  <c r="L169" i="2" s="1"/>
  <c r="K37" i="2"/>
  <c r="L37" i="2" s="1"/>
  <c r="K182" i="2"/>
  <c r="M182" i="2" s="1"/>
  <c r="M182" i="8" s="1"/>
  <c r="Q182" i="8" s="1"/>
  <c r="K16" i="2"/>
  <c r="L16" i="8" s="1"/>
  <c r="N16" i="8" s="1"/>
  <c r="K146" i="2"/>
  <c r="L146" i="2" s="1"/>
  <c r="K160" i="2"/>
  <c r="M160" i="2" s="1"/>
  <c r="M160" i="8" s="1"/>
  <c r="Q160" i="8" s="1"/>
  <c r="K181" i="2"/>
  <c r="M181" i="2" s="1"/>
  <c r="M181" i="8" s="1"/>
  <c r="Q181" i="8" s="1"/>
  <c r="K84" i="2"/>
  <c r="L84" i="8" s="1"/>
  <c r="N84" i="8" s="1"/>
  <c r="K6" i="2"/>
  <c r="M6" i="2" s="1"/>
  <c r="M6" i="8" s="1"/>
  <c r="Q6" i="8" s="1"/>
  <c r="K122" i="2"/>
  <c r="L122" i="8" s="1"/>
  <c r="N122" i="8" s="1"/>
  <c r="K100" i="2"/>
  <c r="L100" i="8" s="1"/>
  <c r="N100" i="8" s="1"/>
  <c r="K81" i="2"/>
  <c r="M81" i="2" s="1"/>
  <c r="M81" i="8" s="1"/>
  <c r="K167" i="2"/>
  <c r="L167" i="2" s="1"/>
  <c r="K25" i="2"/>
  <c r="L25" i="2" s="1"/>
  <c r="K153" i="2"/>
  <c r="L153" i="2" s="1"/>
  <c r="K127" i="2"/>
  <c r="L127" i="2" s="1"/>
  <c r="K30" i="2"/>
  <c r="M30" i="2" s="1"/>
  <c r="M30" i="8" s="1"/>
  <c r="Q30" i="8" s="1"/>
  <c r="K108" i="2"/>
  <c r="L108" i="2" s="1"/>
  <c r="K168" i="2"/>
  <c r="M168" i="2" s="1"/>
  <c r="M168" i="8" s="1"/>
  <c r="Q168" i="8" s="1"/>
  <c r="K58" i="2"/>
  <c r="M58" i="2" s="1"/>
  <c r="M58" i="8" s="1"/>
  <c r="Q58" i="8" s="1"/>
  <c r="K44" i="2"/>
  <c r="L44" i="2" s="1"/>
  <c r="K69" i="2"/>
  <c r="L69" i="8" s="1"/>
  <c r="N69" i="8" s="1"/>
  <c r="K135" i="2"/>
  <c r="M135" i="2" s="1"/>
  <c r="M135" i="8" s="1"/>
  <c r="Q135" i="8" s="1"/>
  <c r="K170" i="16"/>
  <c r="L170" i="17" s="1"/>
  <c r="N170" i="17" s="1"/>
  <c r="K120" i="16"/>
  <c r="L120" i="16" s="1"/>
  <c r="K135" i="16"/>
  <c r="L135" i="16" s="1"/>
  <c r="K163" i="16"/>
  <c r="L163" i="16" s="1"/>
  <c r="K150" i="16"/>
  <c r="L150" i="16" s="1"/>
  <c r="K21" i="16"/>
  <c r="M21" i="16" s="1"/>
  <c r="M21" i="17" s="1"/>
  <c r="Q21" i="17" s="1"/>
  <c r="K93" i="16"/>
  <c r="L93" i="17" s="1"/>
  <c r="N93" i="17" s="1"/>
  <c r="K64" i="16"/>
  <c r="M64" i="16" s="1"/>
  <c r="M64" i="17" s="1"/>
  <c r="Q64" i="17" s="1"/>
  <c r="K8" i="16"/>
  <c r="M8" i="16" s="1"/>
  <c r="M8" i="17" s="1"/>
  <c r="Q8" i="17" s="1"/>
  <c r="K60" i="16"/>
  <c r="L60" i="16" s="1"/>
  <c r="K179" i="2"/>
  <c r="L179" i="2" s="1"/>
  <c r="K149" i="2"/>
  <c r="L149" i="2" s="1"/>
  <c r="K147" i="2"/>
  <c r="L147" i="2" s="1"/>
  <c r="K40" i="2"/>
  <c r="M40" i="2" s="1"/>
  <c r="M40" i="8" s="1"/>
  <c r="Q40" i="8" s="1"/>
  <c r="K85" i="2"/>
  <c r="L85" i="8" s="1"/>
  <c r="N85" i="8" s="1"/>
  <c r="K115" i="2"/>
  <c r="M115" i="2" s="1"/>
  <c r="M115" i="8" s="1"/>
  <c r="Q115" i="8" s="1"/>
  <c r="K97" i="2"/>
  <c r="M97" i="2" s="1"/>
  <c r="M97" i="8" s="1"/>
  <c r="Q97" i="8" s="1"/>
  <c r="K13" i="2"/>
  <c r="L13" i="2" s="1"/>
  <c r="K26" i="2"/>
  <c r="M26" i="2" s="1"/>
  <c r="M26" i="8" s="1"/>
  <c r="Q26" i="8" s="1"/>
  <c r="K143" i="2"/>
  <c r="L143" i="2" s="1"/>
  <c r="K73" i="2"/>
  <c r="M73" i="2" s="1"/>
  <c r="M73" i="8" s="1"/>
  <c r="Q73" i="8" s="1"/>
  <c r="K174" i="2"/>
  <c r="M174" i="2" s="1"/>
  <c r="M174" i="8" s="1"/>
  <c r="Q174" i="8" s="1"/>
  <c r="K142" i="2"/>
  <c r="L142" i="2" s="1"/>
  <c r="K144" i="2"/>
  <c r="L144" i="2" s="1"/>
  <c r="K43" i="2"/>
  <c r="M43" i="2" s="1"/>
  <c r="M43" i="8" s="1"/>
  <c r="Q43" i="8" s="1"/>
  <c r="K125" i="16"/>
  <c r="L125" i="16" s="1"/>
  <c r="K68" i="16"/>
  <c r="L68" i="16" s="1"/>
  <c r="K50" i="16"/>
  <c r="M50" i="16" s="1"/>
  <c r="M50" i="17" s="1"/>
  <c r="Q50" i="17" s="1"/>
  <c r="K108" i="16"/>
  <c r="M108" i="16" s="1"/>
  <c r="M108" i="17" s="1"/>
  <c r="Q108" i="17" s="1"/>
  <c r="K14" i="16"/>
  <c r="L14" i="17" s="1"/>
  <c r="N14" i="17" s="1"/>
  <c r="K37" i="16"/>
  <c r="M37" i="16" s="1"/>
  <c r="M37" i="17" s="1"/>
  <c r="Q37" i="17" s="1"/>
  <c r="K74" i="16"/>
  <c r="L74" i="17" s="1"/>
  <c r="N74" i="17" s="1"/>
  <c r="K140" i="16"/>
  <c r="M140" i="16" s="1"/>
  <c r="M140" i="17" s="1"/>
  <c r="Q140" i="17" s="1"/>
  <c r="K156" i="16"/>
  <c r="L156" i="16" s="1"/>
  <c r="K7" i="16"/>
  <c r="M7" i="16" s="1"/>
  <c r="M7" i="17" s="1"/>
  <c r="Q7" i="17" s="1"/>
  <c r="K170" i="2"/>
  <c r="L170" i="2" s="1"/>
  <c r="K171" i="2"/>
  <c r="M171" i="2" s="1"/>
  <c r="M171" i="8" s="1"/>
  <c r="Q171" i="8" s="1"/>
  <c r="K163" i="2"/>
  <c r="M163" i="2" s="1"/>
  <c r="M163" i="8" s="1"/>
  <c r="Q163" i="8" s="1"/>
  <c r="K111" i="2"/>
  <c r="M111" i="2" s="1"/>
  <c r="M111" i="8" s="1"/>
  <c r="Q111" i="8" s="1"/>
  <c r="K12" i="2"/>
  <c r="M12" i="2" s="1"/>
  <c r="M12" i="8" s="1"/>
  <c r="Q12" i="8" s="1"/>
  <c r="K23" i="2"/>
  <c r="L23" i="8" s="1"/>
  <c r="N23" i="8" s="1"/>
  <c r="K60" i="2"/>
  <c r="L60" i="2" s="1"/>
  <c r="K129" i="2"/>
  <c r="M129" i="2" s="1"/>
  <c r="M129" i="8" s="1"/>
  <c r="Q129" i="8" s="1"/>
  <c r="K175" i="2"/>
  <c r="M175" i="2" s="1"/>
  <c r="M175" i="8" s="1"/>
  <c r="Q175" i="8" s="1"/>
  <c r="K158" i="2"/>
  <c r="M158" i="2" s="1"/>
  <c r="M158" i="8" s="1"/>
  <c r="K45" i="2"/>
  <c r="L45" i="2" s="1"/>
  <c r="K22" i="2"/>
  <c r="M22" i="2" s="1"/>
  <c r="M22" i="8" s="1"/>
  <c r="Q22" i="8" s="1"/>
  <c r="K74" i="2"/>
  <c r="L74" i="2" s="1"/>
  <c r="K21" i="2"/>
  <c r="M21" i="2" s="1"/>
  <c r="M21" i="8" s="1"/>
  <c r="Q21" i="8" s="1"/>
  <c r="K67" i="2"/>
  <c r="M67" i="2" s="1"/>
  <c r="M67" i="8" s="1"/>
  <c r="K131" i="16"/>
  <c r="L131" i="16" s="1"/>
  <c r="K19" i="16"/>
  <c r="L19" i="16" s="1"/>
  <c r="K172" i="16"/>
  <c r="M172" i="16" s="1"/>
  <c r="M172" i="17" s="1"/>
  <c r="K123" i="16"/>
  <c r="L123" i="16" s="1"/>
  <c r="K106" i="16"/>
  <c r="M106" i="16" s="1"/>
  <c r="M106" i="17" s="1"/>
  <c r="Q106" i="17" s="1"/>
  <c r="K17" i="16"/>
  <c r="L17" i="16" s="1"/>
  <c r="K56" i="16"/>
  <c r="M56" i="16" s="1"/>
  <c r="M56" i="17" s="1"/>
  <c r="Q56" i="17" s="1"/>
  <c r="K53" i="16"/>
  <c r="L53" i="16" s="1"/>
  <c r="K114" i="16"/>
  <c r="L114" i="16" s="1"/>
  <c r="K160" i="16"/>
  <c r="M160" i="16" s="1"/>
  <c r="M160" i="17" s="1"/>
  <c r="Q160" i="17" s="1"/>
  <c r="K92" i="16"/>
  <c r="M92" i="16" s="1"/>
  <c r="M92" i="17" s="1"/>
  <c r="Q92" i="17" s="1"/>
  <c r="K104" i="16"/>
  <c r="L104" i="17" s="1"/>
  <c r="N104" i="17" s="1"/>
  <c r="K6" i="16"/>
  <c r="M6" i="16" s="1"/>
  <c r="M6" i="17" s="1"/>
  <c r="Q6" i="17" s="1"/>
  <c r="K179" i="16"/>
  <c r="M179" i="16" s="1"/>
  <c r="M179" i="17" s="1"/>
  <c r="K52" i="16"/>
  <c r="L52" i="16" s="1"/>
  <c r="K154" i="16"/>
  <c r="L154" i="17" s="1"/>
  <c r="N154" i="17" s="1"/>
  <c r="K9" i="16"/>
  <c r="L9" i="16" s="1"/>
  <c r="K141" i="16"/>
  <c r="L141" i="16" s="1"/>
  <c r="K177" i="16"/>
  <c r="L177" i="16" s="1"/>
  <c r="K105" i="16"/>
  <c r="L105" i="17" s="1"/>
  <c r="N105" i="17" s="1"/>
  <c r="K39" i="16"/>
  <c r="L39" i="16" s="1"/>
  <c r="K44" i="16"/>
  <c r="L44" i="16" s="1"/>
  <c r="K63" i="16"/>
  <c r="M63" i="16" s="1"/>
  <c r="M63" i="17" s="1"/>
  <c r="Q63" i="17" s="1"/>
  <c r="K82" i="16"/>
  <c r="M82" i="16" s="1"/>
  <c r="M82" i="17" s="1"/>
  <c r="Q82" i="17" s="1"/>
  <c r="K96" i="16"/>
  <c r="M96" i="16" s="1"/>
  <c r="M96" i="17" s="1"/>
  <c r="Q96" i="17" s="1"/>
  <c r="K27" i="16"/>
  <c r="L27" i="17" s="1"/>
  <c r="N27" i="17" s="1"/>
  <c r="K55" i="16"/>
  <c r="M55" i="16" s="1"/>
  <c r="M55" i="17" s="1"/>
  <c r="Q55" i="17" s="1"/>
  <c r="K77" i="16"/>
  <c r="M77" i="16" s="1"/>
  <c r="M77" i="17" s="1"/>
  <c r="Q77" i="17" s="1"/>
  <c r="K95" i="16"/>
  <c r="M95" i="16" s="1"/>
  <c r="M95" i="17" s="1"/>
  <c r="K166" i="16"/>
  <c r="M166" i="16" s="1"/>
  <c r="M166" i="17" s="1"/>
  <c r="Q166" i="17" s="1"/>
  <c r="K20" i="16"/>
  <c r="M20" i="16" s="1"/>
  <c r="M20" i="17" s="1"/>
  <c r="Q20" i="17" s="1"/>
  <c r="K165" i="16"/>
  <c r="M165" i="16" s="1"/>
  <c r="M165" i="17" s="1"/>
  <c r="K149" i="16"/>
  <c r="M149" i="16" s="1"/>
  <c r="M149" i="17" s="1"/>
  <c r="Q149" i="17" s="1"/>
  <c r="K128" i="16"/>
  <c r="M128" i="16" s="1"/>
  <c r="M128" i="17" s="1"/>
  <c r="Q128" i="17" s="1"/>
  <c r="K54" i="16"/>
  <c r="L54" i="16" s="1"/>
  <c r="K15" i="16"/>
  <c r="M15" i="16" s="1"/>
  <c r="M15" i="17" s="1"/>
  <c r="Q15" i="17" s="1"/>
  <c r="K147" i="16"/>
  <c r="L147" i="17" s="1"/>
  <c r="N147" i="17" s="1"/>
  <c r="K86" i="16"/>
  <c r="L86" i="16" s="1"/>
  <c r="K113" i="16"/>
  <c r="L113" i="17" s="1"/>
  <c r="N113" i="17" s="1"/>
  <c r="K159" i="16"/>
  <c r="L159" i="16" s="1"/>
  <c r="K157" i="16"/>
  <c r="L157" i="16" s="1"/>
  <c r="K31" i="16"/>
  <c r="L31" i="17" s="1"/>
  <c r="N31" i="17" s="1"/>
  <c r="K97" i="16"/>
  <c r="L97" i="16" s="1"/>
  <c r="K174" i="16"/>
  <c r="L174" i="17" s="1"/>
  <c r="N174" i="17" s="1"/>
  <c r="K118" i="16"/>
  <c r="L118" i="17" s="1"/>
  <c r="N118" i="17" s="1"/>
  <c r="K41" i="16"/>
  <c r="L41" i="17" s="1"/>
  <c r="N41" i="17" s="1"/>
  <c r="K181" i="16"/>
  <c r="M181" i="16" s="1"/>
  <c r="M181" i="17" s="1"/>
  <c r="Q181" i="17" s="1"/>
  <c r="K152" i="16"/>
  <c r="L152" i="16" s="1"/>
  <c r="K99" i="16"/>
  <c r="M99" i="16" s="1"/>
  <c r="M99" i="17" s="1"/>
  <c r="Q99" i="17" s="1"/>
  <c r="K111" i="16"/>
  <c r="L111" i="16" s="1"/>
  <c r="K139" i="16"/>
  <c r="L139" i="16" s="1"/>
  <c r="K167" i="16"/>
  <c r="L167" i="17" s="1"/>
  <c r="N167" i="17" s="1"/>
  <c r="K28" i="16"/>
  <c r="M28" i="16" s="1"/>
  <c r="M28" i="17" s="1"/>
  <c r="Q28" i="17" s="1"/>
  <c r="K65" i="16"/>
  <c r="L65" i="16" s="1"/>
  <c r="K23" i="16"/>
  <c r="L23" i="17" s="1"/>
  <c r="N23" i="17" s="1"/>
  <c r="K88" i="16"/>
  <c r="L88" i="17" s="1"/>
  <c r="N88" i="17" s="1"/>
  <c r="K11" i="16"/>
  <c r="L11" i="16" s="1"/>
  <c r="K117" i="16"/>
  <c r="M117" i="16" s="1"/>
  <c r="M117" i="17" s="1"/>
  <c r="Q117" i="17" s="1"/>
  <c r="K145" i="16"/>
  <c r="L145" i="16" s="1"/>
  <c r="K142" i="16"/>
  <c r="L142" i="16" s="1"/>
  <c r="K122" i="16"/>
  <c r="L122" i="16" s="1"/>
  <c r="K164" i="16"/>
  <c r="L164" i="16" s="1"/>
  <c r="K133" i="16"/>
  <c r="L133" i="16" s="1"/>
  <c r="K116" i="16"/>
  <c r="L116" i="17" s="1"/>
  <c r="N116" i="17" s="1"/>
  <c r="K127" i="16"/>
  <c r="L127" i="17" s="1"/>
  <c r="N127" i="17" s="1"/>
  <c r="K40" i="16"/>
  <c r="L40" i="17" s="1"/>
  <c r="N40" i="17" s="1"/>
  <c r="K80" i="16"/>
  <c r="L80" i="16" s="1"/>
  <c r="K71" i="16"/>
  <c r="L71" i="17" s="1"/>
  <c r="N71" i="17" s="1"/>
  <c r="K121" i="16"/>
  <c r="M121" i="16" s="1"/>
  <c r="M121" i="17" s="1"/>
  <c r="Q121" i="17" s="1"/>
  <c r="K138" i="16"/>
  <c r="M138" i="16" s="1"/>
  <c r="M138" i="17" s="1"/>
  <c r="Q138" i="17" s="1"/>
  <c r="K4" i="16"/>
  <c r="M4" i="16" s="1"/>
  <c r="K124" i="16"/>
  <c r="L124" i="16" s="1"/>
  <c r="K73" i="16"/>
  <c r="M73" i="16" s="1"/>
  <c r="M73" i="17" s="1"/>
  <c r="Q73" i="17" s="1"/>
  <c r="K84" i="16"/>
  <c r="L84" i="16" s="1"/>
  <c r="K143" i="16"/>
  <c r="M143" i="16" s="1"/>
  <c r="M143" i="17" s="1"/>
  <c r="Q143" i="17" s="1"/>
  <c r="K13" i="16"/>
  <c r="L13" i="16" s="1"/>
  <c r="K90" i="16"/>
  <c r="L90" i="16" s="1"/>
  <c r="K158" i="16"/>
  <c r="M158" i="16" s="1"/>
  <c r="M158" i="17" s="1"/>
  <c r="K98" i="16"/>
  <c r="M98" i="16" s="1"/>
  <c r="M98" i="17" s="1"/>
  <c r="Q98" i="17" s="1"/>
  <c r="K46" i="16"/>
  <c r="L46" i="17" s="1"/>
  <c r="N46" i="17" s="1"/>
  <c r="K34" i="16"/>
  <c r="M34" i="16" s="1"/>
  <c r="M34" i="17" s="1"/>
  <c r="Q34" i="17" s="1"/>
  <c r="K72" i="16"/>
  <c r="L72" i="17" s="1"/>
  <c r="N72" i="17" s="1"/>
  <c r="K12" i="16"/>
  <c r="M12" i="16" s="1"/>
  <c r="M12" i="17" s="1"/>
  <c r="Q12" i="17" s="1"/>
  <c r="K162" i="16"/>
  <c r="L162" i="17" s="1"/>
  <c r="N162" i="17" s="1"/>
  <c r="K48" i="16"/>
  <c r="L48" i="16" s="1"/>
  <c r="K110" i="16"/>
  <c r="L110" i="17" s="1"/>
  <c r="N110" i="17" s="1"/>
  <c r="K69" i="16"/>
  <c r="M69" i="16" s="1"/>
  <c r="M69" i="17" s="1"/>
  <c r="Q69" i="17" s="1"/>
  <c r="K126" i="16"/>
  <c r="L126" i="17" s="1"/>
  <c r="N126" i="17" s="1"/>
  <c r="K66" i="16"/>
  <c r="M66" i="16" s="1"/>
  <c r="M66" i="17" s="1"/>
  <c r="Q66" i="17" s="1"/>
  <c r="K35" i="16"/>
  <c r="M35" i="16" s="1"/>
  <c r="M35" i="17" s="1"/>
  <c r="Q35" i="17" s="1"/>
  <c r="K87" i="16"/>
  <c r="L87" i="16" s="1"/>
  <c r="K67" i="16"/>
  <c r="M67" i="16" s="1"/>
  <c r="M67" i="17" s="1"/>
  <c r="K107" i="16"/>
  <c r="M107" i="16" s="1"/>
  <c r="M107" i="17" s="1"/>
  <c r="Q107" i="17" s="1"/>
  <c r="K18" i="16"/>
  <c r="L18" i="17" s="1"/>
  <c r="N18" i="17" s="1"/>
  <c r="K146" i="16"/>
  <c r="M146" i="16" s="1"/>
  <c r="M146" i="17" s="1"/>
  <c r="Q146" i="17" s="1"/>
  <c r="K182" i="16"/>
  <c r="L182" i="16" s="1"/>
  <c r="K178" i="16"/>
  <c r="L178" i="16" s="1"/>
  <c r="K22" i="16"/>
  <c r="L22" i="17" s="1"/>
  <c r="N22" i="17" s="1"/>
  <c r="K75" i="16"/>
  <c r="L75" i="16" s="1"/>
  <c r="K180" i="16"/>
  <c r="L180" i="16" s="1"/>
  <c r="K61" i="16"/>
  <c r="L61" i="17" s="1"/>
  <c r="N61" i="17" s="1"/>
  <c r="K58" i="16"/>
  <c r="M58" i="16" s="1"/>
  <c r="M58" i="17" s="1"/>
  <c r="Q58" i="17" s="1"/>
  <c r="K47" i="16"/>
  <c r="L47" i="17" s="1"/>
  <c r="N47" i="17" s="1"/>
  <c r="K130" i="16"/>
  <c r="L130" i="17" s="1"/>
  <c r="N130" i="17" s="1"/>
  <c r="K36" i="16"/>
  <c r="L36" i="17" s="1"/>
  <c r="N36" i="17" s="1"/>
  <c r="K57" i="16"/>
  <c r="L57" i="16" s="1"/>
  <c r="K26" i="16"/>
  <c r="L26" i="17" s="1"/>
  <c r="N26" i="17" s="1"/>
  <c r="K94" i="16"/>
  <c r="L94" i="17" s="1"/>
  <c r="N94" i="17" s="1"/>
  <c r="K168" i="16"/>
  <c r="L168" i="16" s="1"/>
  <c r="K29" i="16"/>
  <c r="L29" i="16" s="1"/>
  <c r="K171" i="16"/>
  <c r="M171" i="16" s="1"/>
  <c r="M171" i="17" s="1"/>
  <c r="Q171" i="17" s="1"/>
  <c r="K176" i="16"/>
  <c r="L176" i="17" s="1"/>
  <c r="N176" i="17" s="1"/>
  <c r="K155" i="16"/>
  <c r="L155" i="17" s="1"/>
  <c r="N155" i="17" s="1"/>
  <c r="K49" i="16"/>
  <c r="M49" i="16" s="1"/>
  <c r="M49" i="17" s="1"/>
  <c r="Q49" i="17" s="1"/>
  <c r="K24" i="16"/>
  <c r="M24" i="16" s="1"/>
  <c r="M24" i="17" s="1"/>
  <c r="Q24" i="17" s="1"/>
  <c r="K132" i="16"/>
  <c r="M132" i="16" s="1"/>
  <c r="M132" i="17" s="1"/>
  <c r="Q132" i="17" s="1"/>
  <c r="K76" i="16"/>
  <c r="L76" i="16" s="1"/>
  <c r="K51" i="16"/>
  <c r="L51" i="17" s="1"/>
  <c r="N51" i="17" s="1"/>
  <c r="K148" i="16"/>
  <c r="M148" i="16" s="1"/>
  <c r="M148" i="17" s="1"/>
  <c r="Q148" i="17" s="1"/>
  <c r="K102" i="16"/>
  <c r="L102" i="17" s="1"/>
  <c r="N102" i="17" s="1"/>
  <c r="K100" i="16"/>
  <c r="L100" i="16" s="1"/>
  <c r="C8" i="7"/>
  <c r="K59" i="16"/>
  <c r="L59" i="16" s="1"/>
  <c r="K109" i="16"/>
  <c r="M109" i="16" s="1"/>
  <c r="M109" i="17" s="1"/>
  <c r="K32" i="16"/>
  <c r="M32" i="16" s="1"/>
  <c r="M32" i="17" s="1"/>
  <c r="K81" i="16"/>
  <c r="L81" i="16" s="1"/>
  <c r="K175" i="16"/>
  <c r="M175" i="16" s="1"/>
  <c r="M175" i="17" s="1"/>
  <c r="Q175" i="17" s="1"/>
  <c r="K79" i="16"/>
  <c r="L79" i="16" s="1"/>
  <c r="K101" i="16"/>
  <c r="L101" i="16" s="1"/>
  <c r="K30" i="16"/>
  <c r="M30" i="16" s="1"/>
  <c r="M30" i="17" s="1"/>
  <c r="Q30" i="17" s="1"/>
  <c r="K89" i="16"/>
  <c r="M89" i="16" s="1"/>
  <c r="M89" i="17" s="1"/>
  <c r="Q89" i="17" s="1"/>
  <c r="K96" i="2"/>
  <c r="L96" i="8" s="1"/>
  <c r="N96" i="8" s="1"/>
  <c r="K118" i="2"/>
  <c r="M118" i="2" s="1"/>
  <c r="M118" i="8" s="1"/>
  <c r="Q118" i="8" s="1"/>
  <c r="K90" i="2"/>
  <c r="L90" i="2" s="1"/>
  <c r="K62" i="2"/>
  <c r="L62" i="2" s="1"/>
  <c r="K24" i="2"/>
  <c r="M24" i="2" s="1"/>
  <c r="M24" i="8" s="1"/>
  <c r="Q24" i="8" s="1"/>
  <c r="K176" i="2"/>
  <c r="M176" i="2" s="1"/>
  <c r="M176" i="8" s="1"/>
  <c r="Q176" i="8" s="1"/>
  <c r="K49" i="2"/>
  <c r="L49" i="2" s="1"/>
  <c r="K117" i="2"/>
  <c r="M117" i="2" s="1"/>
  <c r="M117" i="8" s="1"/>
  <c r="Q117" i="8" s="1"/>
  <c r="K151" i="2"/>
  <c r="L151" i="2" s="1"/>
  <c r="K5" i="2"/>
  <c r="L5" i="2" s="1"/>
  <c r="K101" i="2"/>
  <c r="M101" i="2" s="1"/>
  <c r="M101" i="8" s="1"/>
  <c r="Q101" i="8" s="1"/>
  <c r="K14" i="2"/>
  <c r="L14" i="8" s="1"/>
  <c r="N14" i="8" s="1"/>
  <c r="K128" i="2"/>
  <c r="M128" i="2" s="1"/>
  <c r="M128" i="8" s="1"/>
  <c r="Q128" i="8" s="1"/>
  <c r="K119" i="2"/>
  <c r="M119" i="2" s="1"/>
  <c r="M119" i="8" s="1"/>
  <c r="Q119" i="8" s="1"/>
  <c r="K177" i="2"/>
  <c r="M177" i="2" s="1"/>
  <c r="M177" i="8" s="1"/>
  <c r="Q177" i="8" s="1"/>
  <c r="K79" i="2"/>
  <c r="M79" i="2" s="1"/>
  <c r="M79" i="8" s="1"/>
  <c r="Q79" i="8" s="1"/>
  <c r="K150" i="2"/>
  <c r="L150" i="8" s="1"/>
  <c r="N150" i="8" s="1"/>
  <c r="K77" i="2"/>
  <c r="L77" i="2" s="1"/>
  <c r="K180" i="2"/>
  <c r="M180" i="2" s="1"/>
  <c r="M180" i="8" s="1"/>
  <c r="Q180" i="8" s="1"/>
  <c r="K87" i="2"/>
  <c r="M87" i="2" s="1"/>
  <c r="M87" i="8" s="1"/>
  <c r="Q87" i="8" s="1"/>
  <c r="K31" i="2"/>
  <c r="L31" i="8" s="1"/>
  <c r="N31" i="8" s="1"/>
  <c r="K155" i="2"/>
  <c r="L155" i="8" s="1"/>
  <c r="N155" i="8" s="1"/>
  <c r="K33" i="16"/>
  <c r="M33" i="16" s="1"/>
  <c r="M33" i="17" s="1"/>
  <c r="Q33" i="17" s="1"/>
  <c r="K153" i="16"/>
  <c r="M153" i="16" s="1"/>
  <c r="M153" i="17" s="1"/>
  <c r="Q153" i="17" s="1"/>
  <c r="K62" i="16"/>
  <c r="M62" i="16" s="1"/>
  <c r="M62" i="17" s="1"/>
  <c r="Q62" i="17" s="1"/>
  <c r="K151" i="16"/>
  <c r="L151" i="17" s="1"/>
  <c r="N151" i="17" s="1"/>
  <c r="K103" i="16"/>
  <c r="L103" i="16" s="1"/>
  <c r="K5" i="16"/>
  <c r="L5" i="16" s="1"/>
  <c r="K45" i="16"/>
  <c r="L45" i="17" s="1"/>
  <c r="N45" i="17" s="1"/>
  <c r="K38" i="2"/>
  <c r="L38" i="2" s="1"/>
  <c r="K126" i="2"/>
  <c r="L126" i="2" s="1"/>
  <c r="K54" i="2"/>
  <c r="L54" i="2" s="1"/>
  <c r="K157" i="2"/>
  <c r="L157" i="2" s="1"/>
  <c r="K164" i="2"/>
  <c r="L164" i="2" s="1"/>
  <c r="K8" i="2"/>
  <c r="L8" i="2" s="1"/>
  <c r="K47" i="2"/>
  <c r="L47" i="8" s="1"/>
  <c r="N47" i="8" s="1"/>
  <c r="K166" i="2"/>
  <c r="L166" i="2" s="1"/>
  <c r="K71" i="2"/>
  <c r="L71" i="8" s="1"/>
  <c r="N71" i="8" s="1"/>
  <c r="K99" i="2"/>
  <c r="M99" i="2" s="1"/>
  <c r="M99" i="8" s="1"/>
  <c r="Q99" i="8" s="1"/>
  <c r="K116" i="2"/>
  <c r="M116" i="2" s="1"/>
  <c r="M116" i="8" s="1"/>
  <c r="K53" i="2"/>
  <c r="M53" i="2" s="1"/>
  <c r="M53" i="8" s="1"/>
  <c r="K141" i="2"/>
  <c r="L141" i="8" s="1"/>
  <c r="N141" i="8" s="1"/>
  <c r="K102" i="2"/>
  <c r="L102" i="2" s="1"/>
  <c r="K35" i="2"/>
  <c r="L35" i="2" s="1"/>
  <c r="K156" i="2"/>
  <c r="L156" i="8" s="1"/>
  <c r="N156" i="8" s="1"/>
  <c r="K32" i="2"/>
  <c r="L32" i="8" s="1"/>
  <c r="N32" i="8" s="1"/>
  <c r="K95" i="2"/>
  <c r="L95" i="2" s="1"/>
  <c r="K34" i="2"/>
  <c r="L34" i="2" s="1"/>
  <c r="K88" i="2"/>
  <c r="M88" i="2" s="1"/>
  <c r="M88" i="8" s="1"/>
  <c r="K123" i="2"/>
  <c r="L123" i="2" s="1"/>
  <c r="L12" i="24"/>
  <c r="L12" i="25"/>
  <c r="N12" i="25" s="1"/>
  <c r="M12" i="24"/>
  <c r="M12" i="25" s="1"/>
  <c r="Q12" i="25" s="1"/>
  <c r="L111" i="25"/>
  <c r="N111" i="25" s="1"/>
  <c r="M111" i="24"/>
  <c r="M111" i="25" s="1"/>
  <c r="Q111" i="25" s="1"/>
  <c r="L45" i="25"/>
  <c r="N45" i="25" s="1"/>
  <c r="L45" i="24"/>
  <c r="M104" i="24"/>
  <c r="M104" i="25" s="1"/>
  <c r="Q104" i="25" s="1"/>
  <c r="L104" i="24"/>
  <c r="L104" i="25"/>
  <c r="N104" i="25" s="1"/>
  <c r="L21" i="24"/>
  <c r="L21" i="25"/>
  <c r="N21" i="25" s="1"/>
  <c r="M21" i="24"/>
  <c r="M21" i="25" s="1"/>
  <c r="Q21" i="25" s="1"/>
  <c r="L123" i="25"/>
  <c r="N123" i="25" s="1"/>
  <c r="M123" i="24"/>
  <c r="M123" i="25" s="1"/>
  <c r="L123" i="24"/>
  <c r="L163" i="25"/>
  <c r="N163" i="25" s="1"/>
  <c r="L163" i="24"/>
  <c r="M163" i="24"/>
  <c r="M163" i="25" s="1"/>
  <c r="Q163" i="25" s="1"/>
  <c r="M45" i="24"/>
  <c r="M45" i="25" s="1"/>
  <c r="Q45" i="25" s="1"/>
  <c r="M117" i="24"/>
  <c r="M117" i="25" s="1"/>
  <c r="Q117" i="25" s="1"/>
  <c r="L117" i="25"/>
  <c r="N117" i="25" s="1"/>
  <c r="L117" i="24"/>
  <c r="L139" i="25"/>
  <c r="N139" i="25" s="1"/>
  <c r="M139" i="24"/>
  <c r="M139" i="25" s="1"/>
  <c r="Q139" i="25" s="1"/>
  <c r="L139" i="24"/>
  <c r="L127" i="25"/>
  <c r="N127" i="25" s="1"/>
  <c r="L127" i="24"/>
  <c r="M127" i="24"/>
  <c r="M127" i="25" s="1"/>
  <c r="Q127" i="25" s="1"/>
  <c r="L147" i="24"/>
  <c r="M147" i="24"/>
  <c r="M147" i="25" s="1"/>
  <c r="Q147" i="25" s="1"/>
  <c r="L147" i="25"/>
  <c r="N147" i="25" s="1"/>
  <c r="L71" i="24"/>
  <c r="M71" i="24"/>
  <c r="M71" i="25" s="1"/>
  <c r="Q71" i="25" s="1"/>
  <c r="L71" i="25"/>
  <c r="N71" i="25" s="1"/>
  <c r="L91" i="24"/>
  <c r="L91" i="25"/>
  <c r="N91" i="25" s="1"/>
  <c r="M91" i="24"/>
  <c r="M91" i="25" s="1"/>
  <c r="Q91" i="25" s="1"/>
  <c r="L136" i="24"/>
  <c r="M136" i="24"/>
  <c r="M136" i="25" s="1"/>
  <c r="Q136" i="25" s="1"/>
  <c r="L136" i="25"/>
  <c r="N136" i="25" s="1"/>
  <c r="L174" i="25"/>
  <c r="N174" i="25" s="1"/>
  <c r="L174" i="24"/>
  <c r="M174" i="24"/>
  <c r="M174" i="25" s="1"/>
  <c r="Q174" i="25" s="1"/>
  <c r="L166" i="25"/>
  <c r="N166" i="25" s="1"/>
  <c r="M166" i="24"/>
  <c r="M166" i="25" s="1"/>
  <c r="Q166" i="25" s="1"/>
  <c r="L166" i="24"/>
  <c r="L79" i="25"/>
  <c r="N79" i="25" s="1"/>
  <c r="M79" i="24"/>
  <c r="M79" i="25" s="1"/>
  <c r="Q79" i="25" s="1"/>
  <c r="L79" i="24"/>
  <c r="L66" i="24"/>
  <c r="M66" i="24"/>
  <c r="M66" i="25" s="1"/>
  <c r="Q66" i="25" s="1"/>
  <c r="L66" i="25"/>
  <c r="N66" i="25" s="1"/>
  <c r="M149" i="24"/>
  <c r="M149" i="25" s="1"/>
  <c r="Q149" i="25" s="1"/>
  <c r="L149" i="24"/>
  <c r="L149" i="25"/>
  <c r="N149" i="25" s="1"/>
  <c r="L161" i="25"/>
  <c r="N161" i="25" s="1"/>
  <c r="L161" i="24"/>
  <c r="M161" i="24"/>
  <c r="M161" i="25" s="1"/>
  <c r="Q161" i="25" s="1"/>
  <c r="L164" i="25"/>
  <c r="N164" i="25" s="1"/>
  <c r="M164" i="24"/>
  <c r="M164" i="25" s="1"/>
  <c r="Q164" i="25" s="1"/>
  <c r="L164" i="24"/>
  <c r="L73" i="25"/>
  <c r="N73" i="25" s="1"/>
  <c r="M73" i="24"/>
  <c r="M73" i="25" s="1"/>
  <c r="Q73" i="25" s="1"/>
  <c r="L73" i="24"/>
  <c r="L109" i="24"/>
  <c r="M109" i="24"/>
  <c r="M109" i="25" s="1"/>
  <c r="L109" i="25"/>
  <c r="N109" i="25" s="1"/>
  <c r="M95" i="24"/>
  <c r="M95" i="25" s="1"/>
  <c r="L95" i="25"/>
  <c r="N95" i="25" s="1"/>
  <c r="L95" i="24"/>
  <c r="L102" i="24"/>
  <c r="M102" i="24"/>
  <c r="M102" i="25" s="1"/>
  <c r="L102" i="25"/>
  <c r="N102" i="25" s="1"/>
  <c r="L93" i="24"/>
  <c r="M93" i="24"/>
  <c r="M93" i="25" s="1"/>
  <c r="Q93" i="25" s="1"/>
  <c r="L93" i="25"/>
  <c r="N93" i="25" s="1"/>
  <c r="L167" i="25"/>
  <c r="N167" i="25" s="1"/>
  <c r="L167" i="24"/>
  <c r="M167" i="24"/>
  <c r="M167" i="25" s="1"/>
  <c r="Q167" i="25" s="1"/>
  <c r="M122" i="24"/>
  <c r="M122" i="25" s="1"/>
  <c r="Q122" i="25" s="1"/>
  <c r="L122" i="25"/>
  <c r="N122" i="25" s="1"/>
  <c r="L122" i="24"/>
  <c r="L154" i="25"/>
  <c r="N154" i="25" s="1"/>
  <c r="M154" i="24"/>
  <c r="M154" i="25" s="1"/>
  <c r="Q154" i="25" s="1"/>
  <c r="L154" i="24"/>
  <c r="L52" i="24"/>
  <c r="M52" i="24"/>
  <c r="M52" i="25" s="1"/>
  <c r="Q52" i="25" s="1"/>
  <c r="L52" i="25"/>
  <c r="N52" i="25" s="1"/>
  <c r="M80" i="24"/>
  <c r="M80" i="25" s="1"/>
  <c r="Q80" i="25" s="1"/>
  <c r="L80" i="25"/>
  <c r="N80" i="25" s="1"/>
  <c r="L80" i="24"/>
  <c r="M97" i="24"/>
  <c r="M97" i="25" s="1"/>
  <c r="Q97" i="25" s="1"/>
  <c r="L97" i="24"/>
  <c r="L97" i="25"/>
  <c r="N97" i="25" s="1"/>
  <c r="M94" i="24"/>
  <c r="M94" i="25" s="1"/>
  <c r="Q94" i="25" s="1"/>
  <c r="L94" i="24"/>
  <c r="L94" i="25"/>
  <c r="N94" i="25" s="1"/>
  <c r="L24" i="25"/>
  <c r="N24" i="25" s="1"/>
  <c r="L24" i="24"/>
  <c r="M24" i="24"/>
  <c r="M24" i="25" s="1"/>
  <c r="Q24" i="25" s="1"/>
  <c r="M44" i="24"/>
  <c r="M44" i="25" s="1"/>
  <c r="Q44" i="25" s="1"/>
  <c r="L44" i="24"/>
  <c r="L44" i="25"/>
  <c r="N44" i="25" s="1"/>
  <c r="L37" i="25"/>
  <c r="N37" i="25" s="1"/>
  <c r="L37" i="24"/>
  <c r="M37" i="24"/>
  <c r="M37" i="25" s="1"/>
  <c r="Q37" i="25" s="1"/>
  <c r="L20" i="25"/>
  <c r="N20" i="25" s="1"/>
  <c r="M20" i="24"/>
  <c r="M20" i="25" s="1"/>
  <c r="Q20" i="25" s="1"/>
  <c r="L20" i="24"/>
  <c r="M17" i="24"/>
  <c r="M17" i="25" s="1"/>
  <c r="Q17" i="25" s="1"/>
  <c r="L17" i="24"/>
  <c r="L17" i="25"/>
  <c r="N17" i="25" s="1"/>
  <c r="M130" i="24"/>
  <c r="M130" i="25" s="1"/>
  <c r="L130" i="25"/>
  <c r="N130" i="25" s="1"/>
  <c r="L130" i="24"/>
  <c r="L115" i="24"/>
  <c r="L115" i="25"/>
  <c r="N115" i="25" s="1"/>
  <c r="M115" i="24"/>
  <c r="M115" i="25" s="1"/>
  <c r="Q115" i="25" s="1"/>
  <c r="M129" i="24"/>
  <c r="M129" i="25" s="1"/>
  <c r="Q129" i="25" s="1"/>
  <c r="L129" i="25"/>
  <c r="N129" i="25" s="1"/>
  <c r="L129" i="24"/>
  <c r="M153" i="24"/>
  <c r="M153" i="25" s="1"/>
  <c r="Q153" i="25" s="1"/>
  <c r="L153" i="24"/>
  <c r="L153" i="25"/>
  <c r="N153" i="25" s="1"/>
  <c r="M16" i="24"/>
  <c r="M16" i="25" s="1"/>
  <c r="Q16" i="25" s="1"/>
  <c r="L16" i="24"/>
  <c r="L16" i="25"/>
  <c r="N16" i="25" s="1"/>
  <c r="L100" i="24"/>
  <c r="M100" i="24"/>
  <c r="M100" i="25" s="1"/>
  <c r="Q100" i="25" s="1"/>
  <c r="L100" i="25"/>
  <c r="N100" i="25" s="1"/>
  <c r="L151" i="24"/>
  <c r="L151" i="25"/>
  <c r="N151" i="25" s="1"/>
  <c r="M151" i="24"/>
  <c r="M151" i="25" s="1"/>
  <c r="M53" i="24"/>
  <c r="M53" i="25" s="1"/>
  <c r="L53" i="24"/>
  <c r="L53" i="25"/>
  <c r="N53" i="25" s="1"/>
  <c r="L26" i="24"/>
  <c r="M26" i="24"/>
  <c r="M26" i="25" s="1"/>
  <c r="Q26" i="25" s="1"/>
  <c r="L26" i="25"/>
  <c r="N26" i="25" s="1"/>
  <c r="M13" i="24"/>
  <c r="M13" i="25" s="1"/>
  <c r="Q13" i="25" s="1"/>
  <c r="L13" i="24"/>
  <c r="L13" i="25"/>
  <c r="N13" i="25" s="1"/>
  <c r="L170" i="25"/>
  <c r="N170" i="25" s="1"/>
  <c r="L170" i="24"/>
  <c r="M170" i="24"/>
  <c r="M170" i="25" s="1"/>
  <c r="Q170" i="25" s="1"/>
  <c r="L155" i="25"/>
  <c r="N155" i="25" s="1"/>
  <c r="M155" i="24"/>
  <c r="M155" i="25" s="1"/>
  <c r="Q155" i="25" s="1"/>
  <c r="L155" i="24"/>
  <c r="M33" i="24"/>
  <c r="M33" i="25" s="1"/>
  <c r="Q33" i="25" s="1"/>
  <c r="L33" i="25"/>
  <c r="N33" i="25" s="1"/>
  <c r="L33" i="24"/>
  <c r="M87" i="24"/>
  <c r="M87" i="25" s="1"/>
  <c r="Q87" i="25" s="1"/>
  <c r="L87" i="25"/>
  <c r="N87" i="25" s="1"/>
  <c r="L87" i="24"/>
  <c r="M181" i="24"/>
  <c r="M181" i="25" s="1"/>
  <c r="Q181" i="25" s="1"/>
  <c r="L181" i="25"/>
  <c r="N181" i="25" s="1"/>
  <c r="L181" i="24"/>
  <c r="L125" i="25"/>
  <c r="N125" i="25" s="1"/>
  <c r="M125" i="24"/>
  <c r="M125" i="25" s="1"/>
  <c r="Q125" i="25" s="1"/>
  <c r="L125" i="24"/>
  <c r="L113" i="25"/>
  <c r="N113" i="25" s="1"/>
  <c r="L113" i="24"/>
  <c r="M113" i="24"/>
  <c r="M113" i="25" s="1"/>
  <c r="Q113" i="25" s="1"/>
  <c r="M116" i="24"/>
  <c r="M116" i="25" s="1"/>
  <c r="L116" i="24"/>
  <c r="L116" i="25"/>
  <c r="N116" i="25" s="1"/>
  <c r="L98" i="25"/>
  <c r="N98" i="25" s="1"/>
  <c r="L98" i="24"/>
  <c r="M98" i="24"/>
  <c r="M98" i="25" s="1"/>
  <c r="Q98" i="25" s="1"/>
  <c r="M146" i="24"/>
  <c r="M146" i="25" s="1"/>
  <c r="Q146" i="25" s="1"/>
  <c r="L146" i="24"/>
  <c r="L146" i="25"/>
  <c r="N146" i="25" s="1"/>
  <c r="M30" i="24"/>
  <c r="M30" i="25" s="1"/>
  <c r="Q30" i="25" s="1"/>
  <c r="L30" i="24"/>
  <c r="L30" i="25"/>
  <c r="N30" i="25" s="1"/>
  <c r="M27" i="24"/>
  <c r="M27" i="25" s="1"/>
  <c r="Q27" i="25" s="1"/>
  <c r="L27" i="25"/>
  <c r="N27" i="25" s="1"/>
  <c r="L27" i="24"/>
  <c r="L118" i="25"/>
  <c r="N118" i="25" s="1"/>
  <c r="L118" i="24"/>
  <c r="M118" i="24"/>
  <c r="M118" i="25" s="1"/>
  <c r="Q118" i="25" s="1"/>
  <c r="L65" i="25"/>
  <c r="N65" i="25" s="1"/>
  <c r="M65" i="24"/>
  <c r="M65" i="25" s="1"/>
  <c r="Q65" i="25" s="1"/>
  <c r="L65" i="24"/>
  <c r="M85" i="24"/>
  <c r="M85" i="25" s="1"/>
  <c r="Q85" i="25" s="1"/>
  <c r="L85" i="25"/>
  <c r="N85" i="25" s="1"/>
  <c r="L85" i="24"/>
  <c r="L142" i="25"/>
  <c r="N142" i="25" s="1"/>
  <c r="M142" i="24"/>
  <c r="M142" i="25" s="1"/>
  <c r="Q142" i="25" s="1"/>
  <c r="L142" i="24"/>
  <c r="M39" i="24"/>
  <c r="M39" i="25" s="1"/>
  <c r="L39" i="25"/>
  <c r="N39" i="25" s="1"/>
  <c r="L39" i="24"/>
  <c r="M49" i="24"/>
  <c r="M49" i="25" s="1"/>
  <c r="Q49" i="25" s="1"/>
  <c r="L49" i="25"/>
  <c r="N49" i="25" s="1"/>
  <c r="L49" i="24"/>
  <c r="M58" i="24"/>
  <c r="M58" i="25" s="1"/>
  <c r="Q58" i="25" s="1"/>
  <c r="L58" i="25"/>
  <c r="N58" i="25" s="1"/>
  <c r="L58" i="24"/>
  <c r="L34" i="24"/>
  <c r="L34" i="25"/>
  <c r="N34" i="25" s="1"/>
  <c r="M34" i="24"/>
  <c r="M34" i="25" s="1"/>
  <c r="Q34" i="25" s="1"/>
  <c r="L9" i="25"/>
  <c r="N9" i="25" s="1"/>
  <c r="M9" i="24"/>
  <c r="M9" i="25" s="1"/>
  <c r="Q9" i="25" s="1"/>
  <c r="L9" i="24"/>
  <c r="L148" i="25"/>
  <c r="N148" i="25" s="1"/>
  <c r="M148" i="24"/>
  <c r="M148" i="25" s="1"/>
  <c r="Q148" i="25" s="1"/>
  <c r="L148" i="24"/>
  <c r="L41" i="24"/>
  <c r="L41" i="25"/>
  <c r="N41" i="25" s="1"/>
  <c r="M41" i="24"/>
  <c r="M41" i="25" s="1"/>
  <c r="Q41" i="25" s="1"/>
  <c r="M57" i="24"/>
  <c r="M57" i="25" s="1"/>
  <c r="Q57" i="25" s="1"/>
  <c r="L57" i="24"/>
  <c r="L57" i="25"/>
  <c r="N57" i="25" s="1"/>
  <c r="M90" i="24"/>
  <c r="M90" i="25" s="1"/>
  <c r="Q90" i="25" s="1"/>
  <c r="L90" i="25"/>
  <c r="N90" i="25" s="1"/>
  <c r="L90" i="24"/>
  <c r="L135" i="25"/>
  <c r="N135" i="25" s="1"/>
  <c r="M135" i="24"/>
  <c r="M135" i="25" s="1"/>
  <c r="Q135" i="25" s="1"/>
  <c r="L135" i="24"/>
  <c r="L64" i="24"/>
  <c r="M64" i="24"/>
  <c r="M64" i="25" s="1"/>
  <c r="Q64" i="25" s="1"/>
  <c r="L64" i="25"/>
  <c r="N64" i="25" s="1"/>
  <c r="M10" i="24"/>
  <c r="M10" i="25" s="1"/>
  <c r="Q10" i="25" s="1"/>
  <c r="L10" i="25"/>
  <c r="N10" i="25" s="1"/>
  <c r="L10" i="24"/>
  <c r="L107" i="24"/>
  <c r="L107" i="25"/>
  <c r="N107" i="25" s="1"/>
  <c r="M107" i="24"/>
  <c r="M107" i="25" s="1"/>
  <c r="Q107" i="25" s="1"/>
  <c r="M158" i="24"/>
  <c r="M158" i="25" s="1"/>
  <c r="L158" i="24"/>
  <c r="L158" i="25"/>
  <c r="N158" i="25" s="1"/>
  <c r="L131" i="25"/>
  <c r="N131" i="25" s="1"/>
  <c r="L131" i="24"/>
  <c r="M131" i="24"/>
  <c r="M131" i="25" s="1"/>
  <c r="Q131" i="25" s="1"/>
  <c r="M88" i="24"/>
  <c r="M88" i="25" s="1"/>
  <c r="L88" i="24"/>
  <c r="L88" i="25"/>
  <c r="N88" i="25" s="1"/>
  <c r="M70" i="24"/>
  <c r="M70" i="25" s="1"/>
  <c r="Q70" i="25" s="1"/>
  <c r="L70" i="24"/>
  <c r="L70" i="25"/>
  <c r="N70" i="25" s="1"/>
  <c r="M60" i="24"/>
  <c r="M60" i="25" s="1"/>
  <c r="L60" i="25"/>
  <c r="N60" i="25" s="1"/>
  <c r="L60" i="24"/>
  <c r="M145" i="24"/>
  <c r="M145" i="25" s="1"/>
  <c r="Q145" i="25" s="1"/>
  <c r="L145" i="25"/>
  <c r="N145" i="25" s="1"/>
  <c r="L145" i="24"/>
  <c r="L162" i="25"/>
  <c r="N162" i="25" s="1"/>
  <c r="L162" i="24"/>
  <c r="M162" i="24"/>
  <c r="M162" i="25" s="1"/>
  <c r="Q162" i="25" s="1"/>
  <c r="L19" i="24"/>
  <c r="L19" i="25"/>
  <c r="N19" i="25" s="1"/>
  <c r="M19" i="24"/>
  <c r="M19" i="25" s="1"/>
  <c r="Q19" i="25" s="1"/>
  <c r="L32" i="24"/>
  <c r="L32" i="25"/>
  <c r="N32" i="25" s="1"/>
  <c r="M32" i="24"/>
  <c r="M32" i="25" s="1"/>
  <c r="L14" i="24"/>
  <c r="M14" i="24"/>
  <c r="M14" i="25" s="1"/>
  <c r="Q14" i="25" s="1"/>
  <c r="L14" i="25"/>
  <c r="N14" i="25" s="1"/>
  <c r="L173" i="25"/>
  <c r="N173" i="25" s="1"/>
  <c r="M173" i="24"/>
  <c r="M173" i="25" s="1"/>
  <c r="Q173" i="25" s="1"/>
  <c r="L173" i="24"/>
  <c r="M137" i="24"/>
  <c r="M137" i="25" s="1"/>
  <c r="L137" i="25"/>
  <c r="N137" i="25" s="1"/>
  <c r="L137" i="24"/>
  <c r="M143" i="24"/>
  <c r="M143" i="25" s="1"/>
  <c r="Q143" i="25" s="1"/>
  <c r="L143" i="25"/>
  <c r="N143" i="25" s="1"/>
  <c r="L143" i="24"/>
  <c r="M182" i="24"/>
  <c r="M182" i="25" s="1"/>
  <c r="Q182" i="25" s="1"/>
  <c r="L182" i="25"/>
  <c r="N182" i="25" s="1"/>
  <c r="L182" i="24"/>
  <c r="M29" i="24"/>
  <c r="M29" i="25" s="1"/>
  <c r="Q29" i="25" s="1"/>
  <c r="L29" i="25"/>
  <c r="N29" i="25" s="1"/>
  <c r="L29" i="24"/>
  <c r="L144" i="24"/>
  <c r="M144" i="24"/>
  <c r="M144" i="25" s="1"/>
  <c r="L144" i="25"/>
  <c r="N144" i="25" s="1"/>
  <c r="L69" i="25"/>
  <c r="N69" i="25" s="1"/>
  <c r="L69" i="24"/>
  <c r="M69" i="24"/>
  <c r="M69" i="25" s="1"/>
  <c r="Q69" i="25" s="1"/>
  <c r="L72" i="25"/>
  <c r="N72" i="25" s="1"/>
  <c r="L72" i="24"/>
  <c r="M72" i="24"/>
  <c r="M72" i="25" s="1"/>
  <c r="Q72" i="25" s="1"/>
  <c r="M160" i="24"/>
  <c r="M160" i="25" s="1"/>
  <c r="Q160" i="25" s="1"/>
  <c r="L160" i="24"/>
  <c r="L160" i="25"/>
  <c r="N160" i="25" s="1"/>
  <c r="M55" i="24"/>
  <c r="M55" i="25" s="1"/>
  <c r="Q55" i="25" s="1"/>
  <c r="L55" i="24"/>
  <c r="L55" i="25"/>
  <c r="N55" i="25" s="1"/>
  <c r="M15" i="24"/>
  <c r="M15" i="25" s="1"/>
  <c r="Q15" i="25" s="1"/>
  <c r="L15" i="25"/>
  <c r="N15" i="25" s="1"/>
  <c r="L15" i="24"/>
  <c r="L150" i="24"/>
  <c r="L150" i="25"/>
  <c r="N150" i="25" s="1"/>
  <c r="M150" i="24"/>
  <c r="M150" i="25" s="1"/>
  <c r="Q150" i="25" s="1"/>
  <c r="L141" i="24"/>
  <c r="M141" i="24"/>
  <c r="M141" i="25" s="1"/>
  <c r="Q141" i="25" s="1"/>
  <c r="L141" i="25"/>
  <c r="N141" i="25" s="1"/>
  <c r="L81" i="25"/>
  <c r="N81" i="25" s="1"/>
  <c r="M81" i="24"/>
  <c r="M81" i="25" s="1"/>
  <c r="L81" i="24"/>
  <c r="M22" i="24"/>
  <c r="M22" i="25" s="1"/>
  <c r="Q22" i="25" s="1"/>
  <c r="L22" i="25"/>
  <c r="N22" i="25" s="1"/>
  <c r="L22" i="24"/>
  <c r="M67" i="24"/>
  <c r="M67" i="25" s="1"/>
  <c r="L67" i="25"/>
  <c r="N67" i="25" s="1"/>
  <c r="L67" i="24"/>
  <c r="M31" i="24"/>
  <c r="M31" i="25" s="1"/>
  <c r="Q31" i="25" s="1"/>
  <c r="L31" i="25"/>
  <c r="N31" i="25" s="1"/>
  <c r="L31" i="24"/>
  <c r="L172" i="24"/>
  <c r="L172" i="25"/>
  <c r="N172" i="25" s="1"/>
  <c r="M172" i="24"/>
  <c r="M172" i="25" s="1"/>
  <c r="L168" i="25"/>
  <c r="N168" i="25" s="1"/>
  <c r="M168" i="24"/>
  <c r="M168" i="25" s="1"/>
  <c r="Q168" i="25" s="1"/>
  <c r="L168" i="24"/>
  <c r="M159" i="24"/>
  <c r="M159" i="25" s="1"/>
  <c r="Q159" i="25" s="1"/>
  <c r="L159" i="24"/>
  <c r="L159" i="25"/>
  <c r="N159" i="25" s="1"/>
  <c r="L4" i="25"/>
  <c r="N4" i="25" s="1"/>
  <c r="L4" i="24"/>
  <c r="M4" i="24"/>
  <c r="L76" i="25"/>
  <c r="N76" i="25" s="1"/>
  <c r="M76" i="24"/>
  <c r="M76" i="25" s="1"/>
  <c r="Q76" i="25" s="1"/>
  <c r="L76" i="24"/>
  <c r="M114" i="24"/>
  <c r="M114" i="25" s="1"/>
  <c r="Q114" i="25" s="1"/>
  <c r="L114" i="25"/>
  <c r="N114" i="25" s="1"/>
  <c r="L114" i="24"/>
  <c r="L140" i="24"/>
  <c r="L140" i="25"/>
  <c r="N140" i="25" s="1"/>
  <c r="M140" i="24"/>
  <c r="M140" i="25" s="1"/>
  <c r="Q140" i="25" s="1"/>
  <c r="M110" i="24"/>
  <c r="M110" i="25" s="1"/>
  <c r="Q110" i="25" s="1"/>
  <c r="L110" i="25"/>
  <c r="N110" i="25" s="1"/>
  <c r="L110" i="24"/>
  <c r="L61" i="24"/>
  <c r="M61" i="24"/>
  <c r="M61" i="25" s="1"/>
  <c r="Q61" i="25" s="1"/>
  <c r="L61" i="25"/>
  <c r="N61" i="25" s="1"/>
  <c r="L126" i="24"/>
  <c r="M126" i="24"/>
  <c r="M126" i="25" s="1"/>
  <c r="Q126" i="25" s="1"/>
  <c r="L126" i="25"/>
  <c r="N126" i="25" s="1"/>
  <c r="L63" i="25"/>
  <c r="N63" i="25" s="1"/>
  <c r="L63" i="24"/>
  <c r="M63" i="24"/>
  <c r="M63" i="25" s="1"/>
  <c r="Q63" i="25" s="1"/>
  <c r="L175" i="24"/>
  <c r="L175" i="25"/>
  <c r="N175" i="25" s="1"/>
  <c r="M175" i="24"/>
  <c r="M175" i="25" s="1"/>
  <c r="Q175" i="25" s="1"/>
  <c r="M68" i="24"/>
  <c r="M68" i="25" s="1"/>
  <c r="Q68" i="25" s="1"/>
  <c r="L68" i="24"/>
  <c r="L68" i="25"/>
  <c r="N68" i="25" s="1"/>
  <c r="M121" i="24"/>
  <c r="M121" i="25" s="1"/>
  <c r="Q121" i="25" s="1"/>
  <c r="L121" i="25"/>
  <c r="N121" i="25" s="1"/>
  <c r="L121" i="24"/>
  <c r="M165" i="24"/>
  <c r="M165" i="25" s="1"/>
  <c r="L165" i="24"/>
  <c r="L165" i="25"/>
  <c r="N165" i="25" s="1"/>
  <c r="L43" i="25"/>
  <c r="N43" i="25" s="1"/>
  <c r="M43" i="24"/>
  <c r="M43" i="25" s="1"/>
  <c r="Q43" i="25" s="1"/>
  <c r="L43" i="24"/>
  <c r="L106" i="24"/>
  <c r="L106" i="25"/>
  <c r="N106" i="25" s="1"/>
  <c r="M106" i="24"/>
  <c r="M106" i="25" s="1"/>
  <c r="Q106" i="25" s="1"/>
  <c r="L132" i="24"/>
  <c r="M132" i="24"/>
  <c r="M132" i="25" s="1"/>
  <c r="Q132" i="25" s="1"/>
  <c r="L132" i="25"/>
  <c r="N132" i="25" s="1"/>
  <c r="M23" i="24"/>
  <c r="M23" i="25" s="1"/>
  <c r="Q23" i="25" s="1"/>
  <c r="L23" i="25"/>
  <c r="N23" i="25" s="1"/>
  <c r="L23" i="24"/>
  <c r="L77" i="25"/>
  <c r="N77" i="25" s="1"/>
  <c r="M77" i="24"/>
  <c r="M77" i="25" s="1"/>
  <c r="Q77" i="25" s="1"/>
  <c r="L77" i="24"/>
  <c r="L157" i="25"/>
  <c r="N157" i="25" s="1"/>
  <c r="L157" i="24"/>
  <c r="M157" i="24"/>
  <c r="M157" i="25" s="1"/>
  <c r="Q157" i="25" s="1"/>
  <c r="M35" i="24"/>
  <c r="M35" i="25" s="1"/>
  <c r="Q35" i="25" s="1"/>
  <c r="L35" i="24"/>
  <c r="L35" i="25"/>
  <c r="N35" i="25" s="1"/>
  <c r="L51" i="24"/>
  <c r="L51" i="25"/>
  <c r="N51" i="25" s="1"/>
  <c r="M51" i="24"/>
  <c r="M51" i="25" s="1"/>
  <c r="Q51" i="25" s="1"/>
  <c r="L46" i="25"/>
  <c r="N46" i="25" s="1"/>
  <c r="M46" i="24"/>
  <c r="M46" i="25" s="1"/>
  <c r="L46" i="24"/>
  <c r="M18" i="24"/>
  <c r="M18" i="25" s="1"/>
  <c r="L18" i="25"/>
  <c r="N18" i="25" s="1"/>
  <c r="L18" i="24"/>
  <c r="L105" i="24"/>
  <c r="L105" i="25"/>
  <c r="N105" i="25" s="1"/>
  <c r="M105" i="24"/>
  <c r="M105" i="25" s="1"/>
  <c r="Q105" i="25" s="1"/>
  <c r="L177" i="25"/>
  <c r="N177" i="25" s="1"/>
  <c r="M177" i="24"/>
  <c r="M177" i="25" s="1"/>
  <c r="Q177" i="25" s="1"/>
  <c r="L177" i="24"/>
  <c r="L8" i="25"/>
  <c r="N8" i="25" s="1"/>
  <c r="L8" i="24"/>
  <c r="M8" i="24"/>
  <c r="M8" i="25" s="1"/>
  <c r="Q8" i="25" s="1"/>
  <c r="L38" i="25"/>
  <c r="N38" i="25" s="1"/>
  <c r="M38" i="24"/>
  <c r="M38" i="25" s="1"/>
  <c r="Q38" i="25" s="1"/>
  <c r="L38" i="24"/>
  <c r="L134" i="25"/>
  <c r="N134" i="25" s="1"/>
  <c r="L134" i="24"/>
  <c r="M134" i="24"/>
  <c r="M134" i="25" s="1"/>
  <c r="Q134" i="25" s="1"/>
  <c r="M42" i="24"/>
  <c r="M42" i="25" s="1"/>
  <c r="Q42" i="25" s="1"/>
  <c r="L42" i="25"/>
  <c r="N42" i="25" s="1"/>
  <c r="L42" i="24"/>
  <c r="M59" i="24"/>
  <c r="M59" i="25" s="1"/>
  <c r="Q59" i="25" s="1"/>
  <c r="L59" i="24"/>
  <c r="L59" i="25"/>
  <c r="N59" i="25" s="1"/>
  <c r="M96" i="24"/>
  <c r="M96" i="25" s="1"/>
  <c r="Q96" i="25" s="1"/>
  <c r="L96" i="25"/>
  <c r="N96" i="25" s="1"/>
  <c r="L96" i="24"/>
  <c r="L5" i="25"/>
  <c r="N5" i="25" s="1"/>
  <c r="L5" i="24"/>
  <c r="M5" i="24"/>
  <c r="M5" i="25" s="1"/>
  <c r="Q5" i="25" s="1"/>
  <c r="M56" i="24"/>
  <c r="M56" i="25" s="1"/>
  <c r="Q56" i="25" s="1"/>
  <c r="L56" i="24"/>
  <c r="L56" i="25"/>
  <c r="N56" i="25" s="1"/>
  <c r="M48" i="24"/>
  <c r="M48" i="25" s="1"/>
  <c r="Q48" i="25" s="1"/>
  <c r="L48" i="24"/>
  <c r="L48" i="25"/>
  <c r="N48" i="25" s="1"/>
  <c r="L108" i="24"/>
  <c r="M108" i="24"/>
  <c r="M108" i="25" s="1"/>
  <c r="Q108" i="25" s="1"/>
  <c r="L108" i="25"/>
  <c r="N108" i="25" s="1"/>
  <c r="L156" i="24"/>
  <c r="M156" i="24"/>
  <c r="M156" i="25" s="1"/>
  <c r="Q156" i="25" s="1"/>
  <c r="L156" i="25"/>
  <c r="N156" i="25" s="1"/>
  <c r="L179" i="24"/>
  <c r="L179" i="25"/>
  <c r="N179" i="25" s="1"/>
  <c r="M179" i="24"/>
  <c r="M179" i="25" s="1"/>
  <c r="L178" i="24"/>
  <c r="M178" i="24"/>
  <c r="M178" i="25" s="1"/>
  <c r="Q178" i="25" s="1"/>
  <c r="L178" i="25"/>
  <c r="N178" i="25" s="1"/>
  <c r="M101" i="24"/>
  <c r="M101" i="25" s="1"/>
  <c r="Q101" i="25" s="1"/>
  <c r="L101" i="25"/>
  <c r="N101" i="25" s="1"/>
  <c r="L101" i="24"/>
  <c r="L171" i="25"/>
  <c r="N171" i="25" s="1"/>
  <c r="L171" i="24"/>
  <c r="M171" i="24"/>
  <c r="M171" i="25" s="1"/>
  <c r="Q171" i="25" s="1"/>
  <c r="L40" i="25"/>
  <c r="N40" i="25" s="1"/>
  <c r="M40" i="24"/>
  <c r="M40" i="25" s="1"/>
  <c r="Q40" i="25" s="1"/>
  <c r="L40" i="24"/>
  <c r="M36" i="24"/>
  <c r="M36" i="25" s="1"/>
  <c r="Q36" i="25" s="1"/>
  <c r="L36" i="24"/>
  <c r="L36" i="25"/>
  <c r="N36" i="25" s="1"/>
  <c r="L176" i="25"/>
  <c r="N176" i="25" s="1"/>
  <c r="L176" i="24"/>
  <c r="M176" i="24"/>
  <c r="M176" i="25" s="1"/>
  <c r="Q176" i="25" s="1"/>
  <c r="M138" i="24"/>
  <c r="M138" i="25" s="1"/>
  <c r="Q138" i="25" s="1"/>
  <c r="L138" i="24"/>
  <c r="L138" i="25"/>
  <c r="N138" i="25" s="1"/>
  <c r="L74" i="25"/>
  <c r="N74" i="25" s="1"/>
  <c r="M74" i="24"/>
  <c r="M74" i="25" s="1"/>
  <c r="L74" i="24"/>
  <c r="M128" i="24"/>
  <c r="M128" i="25" s="1"/>
  <c r="Q128" i="25" s="1"/>
  <c r="L128" i="25"/>
  <c r="N128" i="25" s="1"/>
  <c r="L128" i="24"/>
  <c r="M50" i="24"/>
  <c r="M50" i="25" s="1"/>
  <c r="Q50" i="25" s="1"/>
  <c r="L50" i="25"/>
  <c r="N50" i="25" s="1"/>
  <c r="L50" i="24"/>
  <c r="M11" i="24"/>
  <c r="M11" i="25" s="1"/>
  <c r="L11" i="25"/>
  <c r="N11" i="25" s="1"/>
  <c r="L11" i="24"/>
  <c r="L152" i="24"/>
  <c r="M152" i="24"/>
  <c r="M152" i="25" s="1"/>
  <c r="Q152" i="25" s="1"/>
  <c r="L152" i="25"/>
  <c r="N152" i="25" s="1"/>
  <c r="L99" i="25"/>
  <c r="N99" i="25" s="1"/>
  <c r="M99" i="24"/>
  <c r="M99" i="25" s="1"/>
  <c r="Q99" i="25" s="1"/>
  <c r="L99" i="24"/>
  <c r="L47" i="24"/>
  <c r="L47" i="25"/>
  <c r="N47" i="25" s="1"/>
  <c r="M47" i="24"/>
  <c r="M47" i="25" s="1"/>
  <c r="Q47" i="25" s="1"/>
  <c r="L89" i="25"/>
  <c r="N89" i="25" s="1"/>
  <c r="M89" i="24"/>
  <c r="M89" i="25" s="1"/>
  <c r="Q89" i="25" s="1"/>
  <c r="L89" i="24"/>
  <c r="L62" i="25"/>
  <c r="N62" i="25" s="1"/>
  <c r="L62" i="24"/>
  <c r="M62" i="24"/>
  <c r="M62" i="25" s="1"/>
  <c r="Q62" i="25" s="1"/>
  <c r="L124" i="24"/>
  <c r="L124" i="25"/>
  <c r="N124" i="25" s="1"/>
  <c r="M124" i="24"/>
  <c r="M124" i="25" s="1"/>
  <c r="Q124" i="25" s="1"/>
  <c r="L7" i="25"/>
  <c r="N7" i="25" s="1"/>
  <c r="L7" i="24"/>
  <c r="M7" i="24"/>
  <c r="M7" i="25" s="1"/>
  <c r="Q7" i="25" s="1"/>
  <c r="M6" i="24"/>
  <c r="M6" i="25" s="1"/>
  <c r="Q6" i="25" s="1"/>
  <c r="L6" i="25"/>
  <c r="N6" i="25" s="1"/>
  <c r="L6" i="24"/>
  <c r="L78" i="24"/>
  <c r="M78" i="24"/>
  <c r="M78" i="25" s="1"/>
  <c r="Q78" i="25" s="1"/>
  <c r="L78" i="25"/>
  <c r="N78" i="25" s="1"/>
  <c r="M133" i="24"/>
  <c r="M133" i="25" s="1"/>
  <c r="Q133" i="25" s="1"/>
  <c r="L133" i="25"/>
  <c r="N133" i="25" s="1"/>
  <c r="L133" i="24"/>
  <c r="M84" i="24"/>
  <c r="M84" i="25" s="1"/>
  <c r="Q84" i="25" s="1"/>
  <c r="L84" i="24"/>
  <c r="L84" i="25"/>
  <c r="N84" i="25" s="1"/>
  <c r="L92" i="24"/>
  <c r="M92" i="24"/>
  <c r="M92" i="25" s="1"/>
  <c r="Q92" i="25" s="1"/>
  <c r="L92" i="25"/>
  <c r="N92" i="25" s="1"/>
  <c r="L112" i="24"/>
  <c r="L112" i="25"/>
  <c r="N112" i="25" s="1"/>
  <c r="M112" i="24"/>
  <c r="M112" i="25" s="1"/>
  <c r="Q112" i="25" s="1"/>
  <c r="L28" i="25"/>
  <c r="N28" i="25" s="1"/>
  <c r="M28" i="24"/>
  <c r="M28" i="25" s="1"/>
  <c r="Q28" i="25" s="1"/>
  <c r="L28" i="24"/>
  <c r="M103" i="24"/>
  <c r="M103" i="25" s="1"/>
  <c r="Q103" i="25" s="1"/>
  <c r="L103" i="24"/>
  <c r="L103" i="25"/>
  <c r="N103" i="25" s="1"/>
  <c r="L180" i="25"/>
  <c r="N180" i="25" s="1"/>
  <c r="L180" i="24"/>
  <c r="M180" i="24"/>
  <c r="M180" i="25" s="1"/>
  <c r="Q180" i="25" s="1"/>
  <c r="M25" i="24"/>
  <c r="M25" i="25" s="1"/>
  <c r="L25" i="24"/>
  <c r="L25" i="25"/>
  <c r="N25" i="25" s="1"/>
  <c r="M86" i="24"/>
  <c r="M86" i="25" s="1"/>
  <c r="Q86" i="25" s="1"/>
  <c r="L86" i="25"/>
  <c r="N86" i="25" s="1"/>
  <c r="L86" i="24"/>
  <c r="L83" i="25"/>
  <c r="N83" i="25" s="1"/>
  <c r="L83" i="24"/>
  <c r="M83" i="24"/>
  <c r="M83" i="25" s="1"/>
  <c r="Q83" i="25" s="1"/>
  <c r="L120" i="25"/>
  <c r="N120" i="25" s="1"/>
  <c r="M120" i="24"/>
  <c r="M120" i="25" s="1"/>
  <c r="Q120" i="25" s="1"/>
  <c r="L120" i="24"/>
  <c r="L119" i="24"/>
  <c r="M119" i="24"/>
  <c r="M119" i="25" s="1"/>
  <c r="Q119" i="25" s="1"/>
  <c r="L119" i="25"/>
  <c r="N119" i="25" s="1"/>
  <c r="M169" i="24"/>
  <c r="M169" i="25" s="1"/>
  <c r="Q169" i="25" s="1"/>
  <c r="L169" i="25"/>
  <c r="N169" i="25" s="1"/>
  <c r="L169" i="24"/>
  <c r="M82" i="24"/>
  <c r="M82" i="25" s="1"/>
  <c r="Q82" i="25" s="1"/>
  <c r="L82" i="24"/>
  <c r="L82" i="25"/>
  <c r="N82" i="25" s="1"/>
  <c r="L54" i="24"/>
  <c r="L54" i="25"/>
  <c r="N54" i="25" s="1"/>
  <c r="M54" i="24"/>
  <c r="M54" i="25" s="1"/>
  <c r="Q54" i="25" s="1"/>
  <c r="L169" i="17"/>
  <c r="N169" i="17" s="1"/>
  <c r="L161" i="17"/>
  <c r="N161" i="17" s="1"/>
  <c r="L115" i="17"/>
  <c r="N115" i="17" s="1"/>
  <c r="M115" i="16"/>
  <c r="M115" i="17" s="1"/>
  <c r="Q115" i="17" s="1"/>
  <c r="L137" i="17"/>
  <c r="N137" i="17" s="1"/>
  <c r="L175" i="17"/>
  <c r="N175" i="17" s="1"/>
  <c r="L147" i="8"/>
  <c r="N147" i="8" s="1"/>
  <c r="L180" i="8"/>
  <c r="N180" i="8" s="1"/>
  <c r="L131" i="2"/>
  <c r="L165" i="8"/>
  <c r="N165" i="8" s="1"/>
  <c r="L159" i="2"/>
  <c r="M106" i="2"/>
  <c r="M106" i="8" s="1"/>
  <c r="Q106" i="8" s="1"/>
  <c r="L106" i="8"/>
  <c r="N106" i="8" s="1"/>
  <c r="L159" i="17"/>
  <c r="N159" i="17" s="1"/>
  <c r="M41" i="2"/>
  <c r="M41" i="8" s="1"/>
  <c r="Q41" i="8" s="1"/>
  <c r="L133" i="2"/>
  <c r="M133" i="2"/>
  <c r="M133" i="8" s="1"/>
  <c r="Q133" i="8" s="1"/>
  <c r="L64" i="2"/>
  <c r="L65" i="8"/>
  <c r="N65" i="8" s="1"/>
  <c r="L7" i="2"/>
  <c r="L148" i="8"/>
  <c r="N148" i="8" s="1"/>
  <c r="L59" i="8"/>
  <c r="N59" i="8" s="1"/>
  <c r="M113" i="2"/>
  <c r="M113" i="8" s="1"/>
  <c r="Q113" i="8" s="1"/>
  <c r="L113" i="2"/>
  <c r="L63" i="2"/>
  <c r="L120" i="17"/>
  <c r="N120" i="17" s="1"/>
  <c r="L79" i="8"/>
  <c r="N79" i="8" s="1"/>
  <c r="L98" i="17"/>
  <c r="N98" i="17" s="1"/>
  <c r="M29" i="2"/>
  <c r="M29" i="8" s="1"/>
  <c r="Q29" i="8" s="1"/>
  <c r="L29" i="2"/>
  <c r="L29" i="8"/>
  <c r="N29" i="8" s="1"/>
  <c r="L110" i="2"/>
  <c r="L52" i="8"/>
  <c r="N52" i="8" s="1"/>
  <c r="M52" i="2"/>
  <c r="M52" i="8" s="1"/>
  <c r="Q52" i="8" s="1"/>
  <c r="L52" i="2"/>
  <c r="M94" i="2"/>
  <c r="M94" i="8" s="1"/>
  <c r="Q94" i="8" s="1"/>
  <c r="L94" i="8"/>
  <c r="N94" i="8" s="1"/>
  <c r="L86" i="8"/>
  <c r="N86" i="8" s="1"/>
  <c r="L76" i="8"/>
  <c r="N76" i="8" s="1"/>
  <c r="L162" i="2"/>
  <c r="L143" i="17"/>
  <c r="N143" i="17" s="1"/>
  <c r="M112" i="16"/>
  <c r="M112" i="17" s="1"/>
  <c r="Q112" i="17" s="1"/>
  <c r="L140" i="2"/>
  <c r="L140" i="8"/>
  <c r="N140" i="8" s="1"/>
  <c r="M140" i="2"/>
  <c r="M140" i="8" s="1"/>
  <c r="Q140" i="8" s="1"/>
  <c r="L124" i="8"/>
  <c r="N124" i="8" s="1"/>
  <c r="L124" i="2"/>
  <c r="L61" i="2"/>
  <c r="L61" i="8"/>
  <c r="N61" i="8" s="1"/>
  <c r="L4" i="2"/>
  <c r="L80" i="8"/>
  <c r="N80" i="8" s="1"/>
  <c r="M80" i="2"/>
  <c r="M80" i="8" s="1"/>
  <c r="Q80" i="8" s="1"/>
  <c r="L80" i="2"/>
  <c r="M105" i="2"/>
  <c r="M105" i="8" s="1"/>
  <c r="Q105" i="8" s="1"/>
  <c r="L105" i="8"/>
  <c r="N105" i="8" s="1"/>
  <c r="M154" i="2"/>
  <c r="M154" i="8" s="1"/>
  <c r="Q154" i="8" s="1"/>
  <c r="L154" i="8"/>
  <c r="N154" i="8" s="1"/>
  <c r="L154" i="2"/>
  <c r="L171" i="8"/>
  <c r="N171" i="8" s="1"/>
  <c r="L87" i="17"/>
  <c r="N87" i="17" s="1"/>
  <c r="L171" i="17"/>
  <c r="N171" i="17" s="1"/>
  <c r="L76" i="17"/>
  <c r="N76" i="17" s="1"/>
  <c r="L104" i="8"/>
  <c r="N104" i="8" s="1"/>
  <c r="L72" i="8"/>
  <c r="N72" i="8" s="1"/>
  <c r="L161" i="8"/>
  <c r="N161" i="8" s="1"/>
  <c r="M161" i="2"/>
  <c r="M161" i="8" s="1"/>
  <c r="Q161" i="8" s="1"/>
  <c r="L161" i="2"/>
  <c r="M11" i="2"/>
  <c r="M11" i="8" s="1"/>
  <c r="L10" i="2"/>
  <c r="L10" i="8"/>
  <c r="N10" i="8" s="1"/>
  <c r="M10" i="2"/>
  <c r="M10" i="8" s="1"/>
  <c r="Q10" i="8" s="1"/>
  <c r="L83" i="2"/>
  <c r="M112" i="2"/>
  <c r="M112" i="8" s="1"/>
  <c r="Q112" i="8" s="1"/>
  <c r="M178" i="2" l="1"/>
  <c r="M178" i="8" s="1"/>
  <c r="Q178" i="8" s="1"/>
  <c r="M46" i="2"/>
  <c r="M46" i="8" s="1"/>
  <c r="L12" i="16"/>
  <c r="L54" i="17"/>
  <c r="N54" i="17" s="1"/>
  <c r="L178" i="2"/>
  <c r="L75" i="2"/>
  <c r="L15" i="2"/>
  <c r="L55" i="8"/>
  <c r="N55" i="8" s="1"/>
  <c r="L145" i="8"/>
  <c r="N145" i="8" s="1"/>
  <c r="L145" i="2"/>
  <c r="L168" i="17"/>
  <c r="N168" i="17" s="1"/>
  <c r="L122" i="17"/>
  <c r="N122" i="17" s="1"/>
  <c r="L90" i="17"/>
  <c r="N90" i="17" s="1"/>
  <c r="L46" i="2"/>
  <c r="L76" i="2"/>
  <c r="L86" i="2"/>
  <c r="L15" i="8"/>
  <c r="N15" i="8" s="1"/>
  <c r="L69" i="16"/>
  <c r="L4" i="17"/>
  <c r="N4" i="17" s="1"/>
  <c r="M42" i="2"/>
  <c r="M42" i="8" s="1"/>
  <c r="Q42" i="8" s="1"/>
  <c r="L181" i="16"/>
  <c r="L8" i="16"/>
  <c r="L127" i="8"/>
  <c r="N127" i="8" s="1"/>
  <c r="L18" i="2"/>
  <c r="L23" i="2"/>
  <c r="M52" i="16"/>
  <c r="M52" i="17" s="1"/>
  <c r="Q52" i="17" s="1"/>
  <c r="L171" i="16"/>
  <c r="M127" i="2"/>
  <c r="M127" i="8" s="1"/>
  <c r="Q127" i="8" s="1"/>
  <c r="L112" i="8"/>
  <c r="N112" i="8" s="1"/>
  <c r="M18" i="2"/>
  <c r="M18" i="8" s="1"/>
  <c r="Q18" i="8" s="1"/>
  <c r="L133" i="17"/>
  <c r="N133" i="17" s="1"/>
  <c r="L21" i="2"/>
  <c r="L162" i="8"/>
  <c r="N162" i="8" s="1"/>
  <c r="L140" i="17"/>
  <c r="N140" i="17" s="1"/>
  <c r="L107" i="2"/>
  <c r="L136" i="2"/>
  <c r="L43" i="8"/>
  <c r="N43" i="8" s="1"/>
  <c r="L121" i="2"/>
  <c r="L20" i="16"/>
  <c r="L56" i="16"/>
  <c r="L84" i="2"/>
  <c r="L10" i="16"/>
  <c r="L4" i="16"/>
  <c r="L98" i="16"/>
  <c r="L20" i="17"/>
  <c r="N20" i="17" s="1"/>
  <c r="L52" i="17"/>
  <c r="N52" i="17" s="1"/>
  <c r="L10" i="17"/>
  <c r="N10" i="17" s="1"/>
  <c r="L87" i="8"/>
  <c r="N87" i="8" s="1"/>
  <c r="L56" i="17"/>
  <c r="N56" i="17" s="1"/>
  <c r="L69" i="17"/>
  <c r="N69" i="17" s="1"/>
  <c r="L181" i="17"/>
  <c r="N181" i="17" s="1"/>
  <c r="M107" i="2"/>
  <c r="M107" i="8" s="1"/>
  <c r="Q107" i="8" s="1"/>
  <c r="L140" i="16"/>
  <c r="M136" i="2"/>
  <c r="M136" i="8" s="1"/>
  <c r="Q136" i="8" s="1"/>
  <c r="L43" i="2"/>
  <c r="M84" i="2"/>
  <c r="M84" i="8" s="1"/>
  <c r="Q84" i="8" s="1"/>
  <c r="L23" i="16"/>
  <c r="L56" i="2"/>
  <c r="L21" i="8"/>
  <c r="N21" i="8" s="1"/>
  <c r="L121" i="8"/>
  <c r="N121" i="8" s="1"/>
  <c r="L56" i="8"/>
  <c r="N56" i="8" s="1"/>
  <c r="M47" i="16"/>
  <c r="M47" i="17" s="1"/>
  <c r="Q47" i="17" s="1"/>
  <c r="L28" i="2"/>
  <c r="L63" i="17"/>
  <c r="N63" i="17" s="1"/>
  <c r="L148" i="17"/>
  <c r="N148" i="17" s="1"/>
  <c r="L146" i="16"/>
  <c r="M28" i="2"/>
  <c r="M28" i="8" s="1"/>
  <c r="Q28" i="8" s="1"/>
  <c r="L112" i="17"/>
  <c r="N112" i="17" s="1"/>
  <c r="M23" i="16"/>
  <c r="M23" i="17" s="1"/>
  <c r="Q23" i="17" s="1"/>
  <c r="M23" i="2"/>
  <c r="M23" i="8" s="1"/>
  <c r="Q23" i="8" s="1"/>
  <c r="L93" i="8"/>
  <c r="N93" i="8" s="1"/>
  <c r="L62" i="8"/>
  <c r="N62" i="8" s="1"/>
  <c r="M170" i="16"/>
  <c r="M170" i="17" s="1"/>
  <c r="Q170" i="17" s="1"/>
  <c r="M35" i="2"/>
  <c r="M35" i="8" s="1"/>
  <c r="Q35" i="8" s="1"/>
  <c r="L97" i="2"/>
  <c r="L63" i="16"/>
  <c r="L113" i="16"/>
  <c r="L39" i="2"/>
  <c r="L78" i="16"/>
  <c r="M93" i="2"/>
  <c r="M93" i="8" s="1"/>
  <c r="Q93" i="8" s="1"/>
  <c r="L8" i="17"/>
  <c r="N8" i="17" s="1"/>
  <c r="L170" i="16"/>
  <c r="L42" i="2"/>
  <c r="L41" i="8"/>
  <c r="N41" i="8" s="1"/>
  <c r="L97" i="8"/>
  <c r="N97" i="8" s="1"/>
  <c r="L131" i="8"/>
  <c r="N131" i="8" s="1"/>
  <c r="M113" i="16"/>
  <c r="M113" i="17" s="1"/>
  <c r="Q113" i="17" s="1"/>
  <c r="L39" i="8"/>
  <c r="N39" i="8" s="1"/>
  <c r="M78" i="16"/>
  <c r="M78" i="17" s="1"/>
  <c r="Q78" i="17" s="1"/>
  <c r="L148" i="16"/>
  <c r="L146" i="17"/>
  <c r="N146" i="17" s="1"/>
  <c r="L173" i="2"/>
  <c r="L78" i="2"/>
  <c r="L20" i="8"/>
  <c r="N20" i="8" s="1"/>
  <c r="M78" i="2"/>
  <c r="M78" i="8" s="1"/>
  <c r="Q78" i="8" s="1"/>
  <c r="M20" i="2"/>
  <c r="M20" i="8" s="1"/>
  <c r="Q20" i="8" s="1"/>
  <c r="L91" i="2"/>
  <c r="L173" i="8"/>
  <c r="N173" i="8" s="1"/>
  <c r="M130" i="2"/>
  <c r="M130" i="8" s="1"/>
  <c r="Q130" i="8" s="1"/>
  <c r="L66" i="8"/>
  <c r="N66" i="8" s="1"/>
  <c r="L139" i="8"/>
  <c r="N139" i="8" s="1"/>
  <c r="M66" i="2"/>
  <c r="M66" i="8" s="1"/>
  <c r="Q66" i="8" s="1"/>
  <c r="L139" i="2"/>
  <c r="M132" i="2"/>
  <c r="M132" i="8" s="1"/>
  <c r="Q132" i="8" s="1"/>
  <c r="L51" i="8"/>
  <c r="N51" i="8" s="1"/>
  <c r="L132" i="8"/>
  <c r="N132" i="8" s="1"/>
  <c r="L68" i="2"/>
  <c r="L57" i="8"/>
  <c r="N57" i="8" s="1"/>
  <c r="L114" i="2"/>
  <c r="L68" i="8"/>
  <c r="N68" i="8" s="1"/>
  <c r="L19" i="2"/>
  <c r="L179" i="8"/>
  <c r="N179" i="8" s="1"/>
  <c r="M114" i="2"/>
  <c r="M114" i="8" s="1"/>
  <c r="Q114" i="8" s="1"/>
  <c r="M91" i="2"/>
  <c r="M91" i="8" s="1"/>
  <c r="Q91" i="8" s="1"/>
  <c r="L19" i="8"/>
  <c r="N19" i="8" s="1"/>
  <c r="L130" i="8"/>
  <c r="N130" i="8" s="1"/>
  <c r="L97" i="17"/>
  <c r="N97" i="17" s="1"/>
  <c r="L125" i="17"/>
  <c r="N125" i="17" s="1"/>
  <c r="L59" i="2"/>
  <c r="L64" i="8"/>
  <c r="N64" i="8" s="1"/>
  <c r="L30" i="2"/>
  <c r="L159" i="8"/>
  <c r="N159" i="8" s="1"/>
  <c r="L165" i="2"/>
  <c r="L55" i="17"/>
  <c r="N55" i="17" s="1"/>
  <c r="L92" i="17"/>
  <c r="N92" i="17" s="1"/>
  <c r="L16" i="2"/>
  <c r="L144" i="17"/>
  <c r="N144" i="17" s="1"/>
  <c r="M85" i="16"/>
  <c r="M85" i="17" s="1"/>
  <c r="Q85" i="17" s="1"/>
  <c r="L11" i="8"/>
  <c r="N11" i="8" s="1"/>
  <c r="L4" i="8"/>
  <c r="N4" i="8" s="1"/>
  <c r="L145" i="17"/>
  <c r="N145" i="17" s="1"/>
  <c r="M75" i="2"/>
  <c r="M75" i="8" s="1"/>
  <c r="Q75" i="8" s="1"/>
  <c r="L153" i="17"/>
  <c r="N153" i="17" s="1"/>
  <c r="L67" i="8"/>
  <c r="N67" i="8" s="1"/>
  <c r="L91" i="17"/>
  <c r="N91" i="17" s="1"/>
  <c r="L85" i="17"/>
  <c r="N85" i="17" s="1"/>
  <c r="M33" i="2"/>
  <c r="M33" i="8" s="1"/>
  <c r="Q33" i="8" s="1"/>
  <c r="L117" i="8"/>
  <c r="N117" i="8" s="1"/>
  <c r="L58" i="8"/>
  <c r="N58" i="8" s="1"/>
  <c r="L73" i="8"/>
  <c r="N73" i="8" s="1"/>
  <c r="L75" i="17"/>
  <c r="N75" i="17" s="1"/>
  <c r="L139" i="17"/>
  <c r="N139" i="17" s="1"/>
  <c r="L33" i="2"/>
  <c r="L116" i="8"/>
  <c r="N116" i="8" s="1"/>
  <c r="L13" i="8"/>
  <c r="N13" i="8" s="1"/>
  <c r="L60" i="17"/>
  <c r="N60" i="17" s="1"/>
  <c r="L177" i="17"/>
  <c r="N177" i="17" s="1"/>
  <c r="L172" i="17"/>
  <c r="N172" i="17" s="1"/>
  <c r="L81" i="8"/>
  <c r="N81" i="8" s="1"/>
  <c r="L89" i="17"/>
  <c r="N89" i="17" s="1"/>
  <c r="L80" i="17"/>
  <c r="N80" i="17" s="1"/>
  <c r="L158" i="8"/>
  <c r="N158" i="8" s="1"/>
  <c r="M110" i="2"/>
  <c r="M110" i="8" s="1"/>
  <c r="Q110" i="8" s="1"/>
  <c r="L169" i="8"/>
  <c r="N169" i="8" s="1"/>
  <c r="L150" i="17"/>
  <c r="N150" i="17" s="1"/>
  <c r="L54" i="8"/>
  <c r="N54" i="8" s="1"/>
  <c r="M65" i="2"/>
  <c r="M65" i="8" s="1"/>
  <c r="Q65" i="8" s="1"/>
  <c r="L172" i="16"/>
  <c r="L166" i="8"/>
  <c r="N166" i="8" s="1"/>
  <c r="L60" i="8"/>
  <c r="N60" i="8" s="1"/>
  <c r="L156" i="17"/>
  <c r="N156" i="17" s="1"/>
  <c r="L108" i="17"/>
  <c r="N108" i="17" s="1"/>
  <c r="L82" i="8"/>
  <c r="N82" i="8" s="1"/>
  <c r="L59" i="17"/>
  <c r="N59" i="17" s="1"/>
  <c r="M169" i="16"/>
  <c r="M169" i="17" s="1"/>
  <c r="Q169" i="17" s="1"/>
  <c r="M83" i="2"/>
  <c r="M83" i="8" s="1"/>
  <c r="Q83" i="8" s="1"/>
  <c r="L7" i="8"/>
  <c r="N7" i="8" s="1"/>
  <c r="L172" i="8"/>
  <c r="N172" i="8" s="1"/>
  <c r="L48" i="8"/>
  <c r="N48" i="8" s="1"/>
  <c r="L167" i="8"/>
  <c r="N167" i="8" s="1"/>
  <c r="L48" i="2"/>
  <c r="M63" i="2"/>
  <c r="M63" i="8" s="1"/>
  <c r="Q63" i="8" s="1"/>
  <c r="L148" i="2"/>
  <c r="L83" i="17"/>
  <c r="N83" i="17" s="1"/>
  <c r="L109" i="17"/>
  <c r="N109" i="17" s="1"/>
  <c r="L100" i="17"/>
  <c r="N100" i="17" s="1"/>
  <c r="L178" i="17"/>
  <c r="N178" i="17" s="1"/>
  <c r="L129" i="17"/>
  <c r="N129" i="17" s="1"/>
  <c r="L146" i="8"/>
  <c r="N146" i="8" s="1"/>
  <c r="L163" i="8"/>
  <c r="N163" i="8" s="1"/>
  <c r="L174" i="8"/>
  <c r="N174" i="8" s="1"/>
  <c r="L89" i="8"/>
  <c r="N89" i="8" s="1"/>
  <c r="L103" i="8"/>
  <c r="N103" i="8" s="1"/>
  <c r="L70" i="17"/>
  <c r="N70" i="17" s="1"/>
  <c r="L12" i="17"/>
  <c r="N12" i="17" s="1"/>
  <c r="L171" i="2"/>
  <c r="M80" i="16"/>
  <c r="M80" i="17" s="1"/>
  <c r="Q80" i="17" s="1"/>
  <c r="M139" i="16"/>
  <c r="M139" i="17" s="1"/>
  <c r="Q139" i="17" s="1"/>
  <c r="M147" i="2"/>
  <c r="M147" i="8" s="1"/>
  <c r="Q147" i="8" s="1"/>
  <c r="M16" i="2"/>
  <c r="M16" i="8" s="1"/>
  <c r="Q16" i="8" s="1"/>
  <c r="M150" i="16"/>
  <c r="M150" i="17" s="1"/>
  <c r="Q150" i="17" s="1"/>
  <c r="L73" i="2"/>
  <c r="L92" i="16"/>
  <c r="L81" i="2"/>
  <c r="M177" i="16"/>
  <c r="M177" i="17" s="1"/>
  <c r="Q177" i="17" s="1"/>
  <c r="M161" i="16"/>
  <c r="M161" i="17" s="1"/>
  <c r="Q161" i="17" s="1"/>
  <c r="M26" i="16"/>
  <c r="M26" i="17" s="1"/>
  <c r="Q26" i="17" s="1"/>
  <c r="L158" i="2"/>
  <c r="L108" i="16"/>
  <c r="M54" i="16"/>
  <c r="M54" i="17" s="1"/>
  <c r="Q54" i="17" s="1"/>
  <c r="L144" i="16"/>
  <c r="M36" i="2"/>
  <c r="M36" i="8" s="1"/>
  <c r="Q36" i="8" s="1"/>
  <c r="L36" i="2"/>
  <c r="L26" i="16"/>
  <c r="L104" i="2"/>
  <c r="L24" i="16"/>
  <c r="M87" i="16"/>
  <c r="M87" i="17" s="1"/>
  <c r="Q87" i="17" s="1"/>
  <c r="M82" i="2"/>
  <c r="M82" i="8" s="1"/>
  <c r="Q82" i="8" s="1"/>
  <c r="L55" i="16"/>
  <c r="M75" i="16"/>
  <c r="M75" i="17" s="1"/>
  <c r="Q75" i="17" s="1"/>
  <c r="M97" i="16"/>
  <c r="M97" i="17" s="1"/>
  <c r="Q97" i="17" s="1"/>
  <c r="L58" i="2"/>
  <c r="M91" i="16"/>
  <c r="M91" i="17" s="1"/>
  <c r="Q91" i="17" s="1"/>
  <c r="M145" i="16"/>
  <c r="M145" i="17" s="1"/>
  <c r="Q145" i="17" s="1"/>
  <c r="L24" i="17"/>
  <c r="N24" i="17" s="1"/>
  <c r="L47" i="16"/>
  <c r="L143" i="16"/>
  <c r="M133" i="16"/>
  <c r="M133" i="17" s="1"/>
  <c r="Q133" i="17" s="1"/>
  <c r="L79" i="2"/>
  <c r="L153" i="16"/>
  <c r="M59" i="16"/>
  <c r="M59" i="17" s="1"/>
  <c r="Q59" i="17" s="1"/>
  <c r="M156" i="16"/>
  <c r="M156" i="17" s="1"/>
  <c r="Q156" i="17" s="1"/>
  <c r="L72" i="2"/>
  <c r="L6" i="8"/>
  <c r="N6" i="8" s="1"/>
  <c r="L21" i="16"/>
  <c r="M125" i="16"/>
  <c r="M125" i="17" s="1"/>
  <c r="Q125" i="17" s="1"/>
  <c r="L45" i="8"/>
  <c r="N45" i="8" s="1"/>
  <c r="L44" i="8"/>
  <c r="N44" i="8" s="1"/>
  <c r="M172" i="2"/>
  <c r="M172" i="8" s="1"/>
  <c r="Q172" i="8" s="1"/>
  <c r="Q30" i="46" s="1"/>
  <c r="L27" i="8"/>
  <c r="N27" i="8" s="1"/>
  <c r="L184" i="8"/>
  <c r="N184" i="8" s="1"/>
  <c r="M184" i="2"/>
  <c r="M184" i="8" s="1"/>
  <c r="Q184" i="8" s="1"/>
  <c r="L184" i="2"/>
  <c r="L184" i="17"/>
  <c r="N184" i="17" s="1"/>
  <c r="M184" i="16"/>
  <c r="M184" i="17" s="1"/>
  <c r="Q184" i="17" s="1"/>
  <c r="L184" i="16"/>
  <c r="M103" i="2"/>
  <c r="M103" i="8" s="1"/>
  <c r="Q103" i="8" s="1"/>
  <c r="L40" i="2"/>
  <c r="L6" i="2"/>
  <c r="M169" i="2"/>
  <c r="M169" i="8" s="1"/>
  <c r="Q169" i="8" s="1"/>
  <c r="L14" i="16"/>
  <c r="M120" i="16"/>
  <c r="M120" i="17" s="1"/>
  <c r="Q120" i="17" s="1"/>
  <c r="L137" i="16"/>
  <c r="L185" i="8"/>
  <c r="N185" i="8" s="1"/>
  <c r="M185" i="2"/>
  <c r="M185" i="8" s="1"/>
  <c r="Q185" i="8" s="1"/>
  <c r="L185" i="2"/>
  <c r="L183" i="17"/>
  <c r="N183" i="17" s="1"/>
  <c r="L183" i="16"/>
  <c r="M183" i="16"/>
  <c r="M183" i="17" s="1"/>
  <c r="Q183" i="17" s="1"/>
  <c r="M89" i="2"/>
  <c r="M89" i="8" s="1"/>
  <c r="Q89" i="8" s="1"/>
  <c r="L67" i="2"/>
  <c r="M167" i="2"/>
  <c r="M167" i="8" s="1"/>
  <c r="Q167" i="8" s="1"/>
  <c r="M14" i="16"/>
  <c r="M14" i="17" s="1"/>
  <c r="Q14" i="17" s="1"/>
  <c r="L38" i="17"/>
  <c r="N38" i="17" s="1"/>
  <c r="M45" i="2"/>
  <c r="M45" i="8" s="1"/>
  <c r="Q45" i="8" s="1"/>
  <c r="M146" i="2"/>
  <c r="M146" i="8" s="1"/>
  <c r="Q146" i="8" s="1"/>
  <c r="L21" i="17"/>
  <c r="N21" i="17" s="1"/>
  <c r="M44" i="2"/>
  <c r="M44" i="8" s="1"/>
  <c r="Q44" i="8" s="1"/>
  <c r="M180" i="16"/>
  <c r="M180" i="17" s="1"/>
  <c r="Q180" i="17" s="1"/>
  <c r="L163" i="2"/>
  <c r="M42" i="16"/>
  <c r="M42" i="17" s="1"/>
  <c r="Q42" i="17" s="1"/>
  <c r="L70" i="16"/>
  <c r="L183" i="8"/>
  <c r="N183" i="8" s="1"/>
  <c r="M183" i="2"/>
  <c r="M183" i="8" s="1"/>
  <c r="Q183" i="8" s="1"/>
  <c r="L183" i="2"/>
  <c r="L185" i="17"/>
  <c r="N185" i="17" s="1"/>
  <c r="M185" i="16"/>
  <c r="M185" i="17" s="1"/>
  <c r="Q185" i="17" s="1"/>
  <c r="L185" i="16"/>
  <c r="L174" i="2"/>
  <c r="M83" i="16"/>
  <c r="M83" i="17" s="1"/>
  <c r="Q83" i="17" s="1"/>
  <c r="L85" i="2"/>
  <c r="L39" i="17"/>
  <c r="N39" i="17" s="1"/>
  <c r="M9" i="16"/>
  <c r="M9" i="17" s="1"/>
  <c r="Q9" i="17" s="1"/>
  <c r="L6" i="17"/>
  <c r="N6" i="17" s="1"/>
  <c r="L5" i="17"/>
  <c r="N5" i="17" s="1"/>
  <c r="L117" i="2"/>
  <c r="L35" i="8"/>
  <c r="N35" i="8" s="1"/>
  <c r="M47" i="2"/>
  <c r="M47" i="8" s="1"/>
  <c r="Q47" i="8" s="1"/>
  <c r="L175" i="16"/>
  <c r="L87" i="2"/>
  <c r="M14" i="2"/>
  <c r="M14" i="8" s="1"/>
  <c r="Q14" i="8" s="1"/>
  <c r="M62" i="2"/>
  <c r="M62" i="8" s="1"/>
  <c r="Q62" i="8" s="1"/>
  <c r="L34" i="8"/>
  <c r="N34" i="8" s="1"/>
  <c r="L47" i="2"/>
  <c r="L89" i="16"/>
  <c r="L92" i="2"/>
  <c r="M36" i="16"/>
  <c r="M36" i="17" s="1"/>
  <c r="Q36" i="17" s="1"/>
  <c r="L50" i="2"/>
  <c r="M129" i="16"/>
  <c r="M129" i="17" s="1"/>
  <c r="Q129" i="17" s="1"/>
  <c r="L57" i="2"/>
  <c r="L55" i="2"/>
  <c r="L102" i="16"/>
  <c r="L61" i="16"/>
  <c r="L34" i="17"/>
  <c r="N34" i="17" s="1"/>
  <c r="M60" i="2"/>
  <c r="M60" i="8" s="1"/>
  <c r="Q60" i="8" s="1"/>
  <c r="L155" i="2"/>
  <c r="L40" i="8"/>
  <c r="N40" i="8" s="1"/>
  <c r="L37" i="16"/>
  <c r="L27" i="2"/>
  <c r="M124" i="16"/>
  <c r="M124" i="17" s="1"/>
  <c r="Q124" i="17" s="1"/>
  <c r="M13" i="2"/>
  <c r="M13" i="8" s="1"/>
  <c r="Q13" i="8" s="1"/>
  <c r="L30" i="8"/>
  <c r="N30" i="8" s="1"/>
  <c r="L42" i="17"/>
  <c r="N42" i="17" s="1"/>
  <c r="M60" i="16"/>
  <c r="M60" i="17" s="1"/>
  <c r="Q60" i="17" s="1"/>
  <c r="M151" i="2"/>
  <c r="M151" i="8" s="1"/>
  <c r="Q151" i="8" s="1"/>
  <c r="M38" i="16"/>
  <c r="M38" i="17" s="1"/>
  <c r="Q38" i="17" s="1"/>
  <c r="L51" i="2"/>
  <c r="M92" i="2"/>
  <c r="M92" i="8" s="1"/>
  <c r="Q92" i="8" s="1"/>
  <c r="L22" i="2"/>
  <c r="M45" i="16"/>
  <c r="M45" i="17" s="1"/>
  <c r="Q45" i="17" s="1"/>
  <c r="M150" i="2"/>
  <c r="M150" i="8" s="1"/>
  <c r="Q150" i="8" s="1"/>
  <c r="L37" i="17"/>
  <c r="N37" i="17" s="1"/>
  <c r="M136" i="16"/>
  <c r="M136" i="17" s="1"/>
  <c r="Q136" i="17" s="1"/>
  <c r="L107" i="16"/>
  <c r="M50" i="2"/>
  <c r="M50" i="8" s="1"/>
  <c r="Q50" i="8" s="1"/>
  <c r="M25" i="16"/>
  <c r="M25" i="17" s="1"/>
  <c r="Q25" i="17" s="1"/>
  <c r="M5" i="16"/>
  <c r="M5" i="17" s="1"/>
  <c r="Q5" i="17" s="1"/>
  <c r="M11" i="16"/>
  <c r="M11" i="17" s="1"/>
  <c r="Q11" i="17" s="1"/>
  <c r="L28" i="16"/>
  <c r="L14" i="2"/>
  <c r="M34" i="2"/>
  <c r="M34" i="8" s="1"/>
  <c r="Q34" i="8" s="1"/>
  <c r="L116" i="2"/>
  <c r="M54" i="2"/>
  <c r="M54" i="8" s="1"/>
  <c r="Q54" i="8" s="1"/>
  <c r="L36" i="16"/>
  <c r="L25" i="16"/>
  <c r="L176" i="2"/>
  <c r="L176" i="8"/>
  <c r="N176" i="8" s="1"/>
  <c r="Q179" i="25"/>
  <c r="P31" i="48"/>
  <c r="Q179" i="17"/>
  <c r="L182" i="8"/>
  <c r="N182" i="8" s="1"/>
  <c r="L179" i="17"/>
  <c r="N179" i="17" s="1"/>
  <c r="L181" i="8"/>
  <c r="N181" i="8" s="1"/>
  <c r="L175" i="8"/>
  <c r="N175" i="8" s="1"/>
  <c r="L107" i="17"/>
  <c r="N107" i="17" s="1"/>
  <c r="L66" i="17"/>
  <c r="N66" i="17" s="1"/>
  <c r="L111" i="8"/>
  <c r="N111" i="8" s="1"/>
  <c r="M125" i="2"/>
  <c r="M125" i="8" s="1"/>
  <c r="Q125" i="8" s="1"/>
  <c r="L26" i="2"/>
  <c r="L149" i="17"/>
  <c r="N149" i="17" s="1"/>
  <c r="L136" i="17"/>
  <c r="N136" i="17" s="1"/>
  <c r="L28" i="17"/>
  <c r="N28" i="17" s="1"/>
  <c r="L99" i="16"/>
  <c r="L118" i="16"/>
  <c r="L68" i="17"/>
  <c r="N68" i="17" s="1"/>
  <c r="M85" i="2"/>
  <c r="M85" i="8" s="1"/>
  <c r="Q85" i="8" s="1"/>
  <c r="L131" i="17"/>
  <c r="N131" i="17" s="1"/>
  <c r="L119" i="2"/>
  <c r="M5" i="2"/>
  <c r="M5" i="8" s="1"/>
  <c r="Q5" i="8" s="1"/>
  <c r="M68" i="16"/>
  <c r="M68" i="17" s="1"/>
  <c r="Q68" i="17" s="1"/>
  <c r="L164" i="8"/>
  <c r="N164" i="8" s="1"/>
  <c r="L142" i="8"/>
  <c r="N142" i="8" s="1"/>
  <c r="L134" i="16"/>
  <c r="M179" i="2"/>
  <c r="M179" i="8" s="1"/>
  <c r="Q179" i="8" s="1"/>
  <c r="L160" i="8"/>
  <c r="N160" i="8" s="1"/>
  <c r="L37" i="8"/>
  <c r="N37" i="8" s="1"/>
  <c r="L70" i="2"/>
  <c r="L101" i="17"/>
  <c r="N101" i="17" s="1"/>
  <c r="L32" i="16"/>
  <c r="L160" i="17"/>
  <c r="N160" i="17" s="1"/>
  <c r="L164" i="17"/>
  <c r="N164" i="17" s="1"/>
  <c r="L166" i="17"/>
  <c r="N166" i="17" s="1"/>
  <c r="L149" i="8"/>
  <c r="N149" i="8" s="1"/>
  <c r="L168" i="8"/>
  <c r="N168" i="8" s="1"/>
  <c r="L170" i="8"/>
  <c r="N170" i="8" s="1"/>
  <c r="Q172" i="17"/>
  <c r="L173" i="17"/>
  <c r="N173" i="17" s="1"/>
  <c r="Q172" i="25"/>
  <c r="Q30" i="48" s="1"/>
  <c r="P30" i="48"/>
  <c r="M155" i="16"/>
  <c r="M155" i="17" s="1"/>
  <c r="Q155" i="17" s="1"/>
  <c r="M178" i="16"/>
  <c r="M178" i="17" s="1"/>
  <c r="Q178" i="17" s="1"/>
  <c r="L66" i="16"/>
  <c r="L48" i="17"/>
  <c r="N48" i="17" s="1"/>
  <c r="L73" i="16"/>
  <c r="L121" i="16"/>
  <c r="L118" i="2"/>
  <c r="M135" i="16"/>
  <c r="M135" i="17" s="1"/>
  <c r="Q135" i="17" s="1"/>
  <c r="L69" i="2"/>
  <c r="L108" i="8"/>
  <c r="N108" i="8" s="1"/>
  <c r="L9" i="8"/>
  <c r="N9" i="8" s="1"/>
  <c r="L147" i="16"/>
  <c r="M32" i="2"/>
  <c r="M32" i="8" s="1"/>
  <c r="Q32" i="8" s="1"/>
  <c r="M141" i="2"/>
  <c r="M141" i="8" s="1"/>
  <c r="Q141" i="8" s="1"/>
  <c r="L71" i="2"/>
  <c r="L7" i="16"/>
  <c r="L95" i="16"/>
  <c r="L6" i="16"/>
  <c r="L114" i="17"/>
  <c r="N114" i="17" s="1"/>
  <c r="L106" i="17"/>
  <c r="N106" i="17" s="1"/>
  <c r="M25" i="2"/>
  <c r="M25" i="8" s="1"/>
  <c r="Q25" i="8" s="1"/>
  <c r="M122" i="2"/>
  <c r="M122" i="8" s="1"/>
  <c r="Q122" i="8" s="1"/>
  <c r="M43" i="16"/>
  <c r="M43" i="17" s="1"/>
  <c r="Q43" i="17" s="1"/>
  <c r="M100" i="16"/>
  <c r="M100" i="17" s="1"/>
  <c r="Q100" i="17" s="1"/>
  <c r="M76" i="16"/>
  <c r="M76" i="17" s="1"/>
  <c r="Q76" i="17" s="1"/>
  <c r="M61" i="16"/>
  <c r="M61" i="17" s="1"/>
  <c r="Q61" i="17" s="1"/>
  <c r="L111" i="2"/>
  <c r="M118" i="16"/>
  <c r="M118" i="17" s="1"/>
  <c r="Q118" i="17" s="1"/>
  <c r="M157" i="16"/>
  <c r="M157" i="17" s="1"/>
  <c r="Q157" i="17" s="1"/>
  <c r="L22" i="8"/>
  <c r="N22" i="8" s="1"/>
  <c r="L129" i="2"/>
  <c r="L155" i="16"/>
  <c r="M168" i="16"/>
  <c r="M168" i="17" s="1"/>
  <c r="Q168" i="17" s="1"/>
  <c r="M48" i="16"/>
  <c r="M48" i="17" s="1"/>
  <c r="Q48" i="17" s="1"/>
  <c r="L34" i="16"/>
  <c r="M151" i="16"/>
  <c r="M151" i="17" s="1"/>
  <c r="Q151" i="17" s="1"/>
  <c r="L121" i="17"/>
  <c r="N121" i="17" s="1"/>
  <c r="L127" i="16"/>
  <c r="M122" i="16"/>
  <c r="M122" i="17" s="1"/>
  <c r="Q122" i="17" s="1"/>
  <c r="L93" i="16"/>
  <c r="L135" i="17"/>
  <c r="N135" i="17" s="1"/>
  <c r="M108" i="2"/>
  <c r="M108" i="8" s="1"/>
  <c r="Q108" i="8" s="1"/>
  <c r="M71" i="2"/>
  <c r="M71" i="8" s="1"/>
  <c r="Q71" i="8" s="1"/>
  <c r="M164" i="2"/>
  <c r="M164" i="8" s="1"/>
  <c r="Q164" i="8" s="1"/>
  <c r="L106" i="16"/>
  <c r="L122" i="2"/>
  <c r="M37" i="2"/>
  <c r="M37" i="8" s="1"/>
  <c r="Q37" i="8" s="1"/>
  <c r="L43" i="16"/>
  <c r="L38" i="8"/>
  <c r="N38" i="8" s="1"/>
  <c r="M155" i="2"/>
  <c r="M155" i="8" s="1"/>
  <c r="Q155" i="8" s="1"/>
  <c r="L77" i="8"/>
  <c r="N77" i="8" s="1"/>
  <c r="L119" i="8"/>
  <c r="N119" i="8" s="1"/>
  <c r="M123" i="2"/>
  <c r="M123" i="8" s="1"/>
  <c r="Q123" i="8" s="1"/>
  <c r="L32" i="2"/>
  <c r="M38" i="2"/>
  <c r="M38" i="8" s="1"/>
  <c r="Q38" i="8" s="1"/>
  <c r="L95" i="17"/>
  <c r="N95" i="17" s="1"/>
  <c r="L96" i="17"/>
  <c r="N96" i="17" s="1"/>
  <c r="M39" i="16"/>
  <c r="M39" i="17" s="1"/>
  <c r="Q39" i="17" s="1"/>
  <c r="M101" i="16"/>
  <c r="M101" i="17" s="1"/>
  <c r="Q101" i="17" s="1"/>
  <c r="L74" i="16"/>
  <c r="M138" i="2"/>
  <c r="M138" i="8" s="1"/>
  <c r="Q138" i="8" s="1"/>
  <c r="L151" i="16"/>
  <c r="L73" i="17"/>
  <c r="N73" i="17" s="1"/>
  <c r="M127" i="16"/>
  <c r="M127" i="17" s="1"/>
  <c r="Q127" i="17" s="1"/>
  <c r="L11" i="17"/>
  <c r="N11" i="17" s="1"/>
  <c r="L99" i="17"/>
  <c r="N99" i="17" s="1"/>
  <c r="L157" i="17"/>
  <c r="N157" i="17" s="1"/>
  <c r="L129" i="8"/>
  <c r="N129" i="8" s="1"/>
  <c r="M90" i="16"/>
  <c r="M90" i="17" s="1"/>
  <c r="Q90" i="17" s="1"/>
  <c r="L27" i="16"/>
  <c r="M131" i="16"/>
  <c r="M131" i="17" s="1"/>
  <c r="Q131" i="17" s="1"/>
  <c r="M77" i="2"/>
  <c r="M77" i="8" s="1"/>
  <c r="Q77" i="8" s="1"/>
  <c r="L5" i="8"/>
  <c r="N5" i="8" s="1"/>
  <c r="L118" i="8"/>
  <c r="N118" i="8" s="1"/>
  <c r="M93" i="16"/>
  <c r="M93" i="17" s="1"/>
  <c r="Q93" i="17" s="1"/>
  <c r="M69" i="2"/>
  <c r="M69" i="8" s="1"/>
  <c r="Q69" i="8" s="1"/>
  <c r="L9" i="2"/>
  <c r="L125" i="2"/>
  <c r="M147" i="16"/>
  <c r="M147" i="17" s="1"/>
  <c r="Q147" i="17" s="1"/>
  <c r="L123" i="8"/>
  <c r="N123" i="8" s="1"/>
  <c r="L141" i="2"/>
  <c r="M142" i="2"/>
  <c r="M142" i="8" s="1"/>
  <c r="Q142" i="8" s="1"/>
  <c r="L26" i="8"/>
  <c r="N26" i="8" s="1"/>
  <c r="L7" i="17"/>
  <c r="N7" i="17" s="1"/>
  <c r="L134" i="17"/>
  <c r="N134" i="17" s="1"/>
  <c r="L149" i="16"/>
  <c r="L96" i="16"/>
  <c r="L9" i="17"/>
  <c r="N9" i="17" s="1"/>
  <c r="M114" i="16"/>
  <c r="M114" i="17" s="1"/>
  <c r="Q114" i="17" s="1"/>
  <c r="L25" i="8"/>
  <c r="N25" i="8" s="1"/>
  <c r="L160" i="2"/>
  <c r="M70" i="2"/>
  <c r="M70" i="8" s="1"/>
  <c r="Q70" i="8" s="1"/>
  <c r="L32" i="17"/>
  <c r="N32" i="17" s="1"/>
  <c r="M153" i="2"/>
  <c r="M153" i="8" s="1"/>
  <c r="Q153" i="8" s="1"/>
  <c r="L100" i="2"/>
  <c r="L182" i="2"/>
  <c r="L109" i="2"/>
  <c r="L134" i="8"/>
  <c r="N134" i="8" s="1"/>
  <c r="M74" i="2"/>
  <c r="M74" i="8" s="1"/>
  <c r="Q74" i="8" s="1"/>
  <c r="L163" i="17"/>
  <c r="N163" i="17" s="1"/>
  <c r="M40" i="16"/>
  <c r="M40" i="17" s="1"/>
  <c r="Q40" i="17" s="1"/>
  <c r="L141" i="17"/>
  <c r="N141" i="17" s="1"/>
  <c r="M137" i="2"/>
  <c r="M137" i="8" s="1"/>
  <c r="Q137" i="8" s="1"/>
  <c r="M170" i="2"/>
  <c r="M170" i="8" s="1"/>
  <c r="Q170" i="8" s="1"/>
  <c r="L152" i="8"/>
  <c r="N152" i="8" s="1"/>
  <c r="M98" i="2"/>
  <c r="M98" i="8" s="1"/>
  <c r="Q98" i="8" s="1"/>
  <c r="L175" i="2"/>
  <c r="M111" i="16"/>
  <c r="M111" i="17" s="1"/>
  <c r="Q111" i="17" s="1"/>
  <c r="L115" i="2"/>
  <c r="L144" i="8"/>
  <c r="N144" i="8" s="1"/>
  <c r="L109" i="8"/>
  <c r="N109" i="8" s="1"/>
  <c r="L126" i="8"/>
  <c r="N126" i="8" s="1"/>
  <c r="M44" i="16"/>
  <c r="M44" i="17" s="1"/>
  <c r="Q44" i="17" s="1"/>
  <c r="L160" i="16"/>
  <c r="L153" i="8"/>
  <c r="N153" i="8" s="1"/>
  <c r="L50" i="16"/>
  <c r="L135" i="8"/>
  <c r="N135" i="8" s="1"/>
  <c r="L120" i="8"/>
  <c r="N120" i="8" s="1"/>
  <c r="L49" i="17"/>
  <c r="N49" i="17" s="1"/>
  <c r="L111" i="17"/>
  <c r="N111" i="17" s="1"/>
  <c r="L115" i="8"/>
  <c r="N115" i="8" s="1"/>
  <c r="L119" i="17"/>
  <c r="N119" i="17" s="1"/>
  <c r="L86" i="17"/>
  <c r="N86" i="17" s="1"/>
  <c r="L128" i="17"/>
  <c r="N128" i="17" s="1"/>
  <c r="L117" i="17"/>
  <c r="N117" i="17" s="1"/>
  <c r="L41" i="16"/>
  <c r="L143" i="8"/>
  <c r="N143" i="8" s="1"/>
  <c r="L152" i="2"/>
  <c r="L138" i="8"/>
  <c r="N138" i="8" s="1"/>
  <c r="M102" i="2"/>
  <c r="M102" i="8" s="1"/>
  <c r="Q102" i="8" s="1"/>
  <c r="L12" i="2"/>
  <c r="L179" i="16"/>
  <c r="M17" i="16"/>
  <c r="M17" i="17" s="1"/>
  <c r="Q17" i="17" s="1"/>
  <c r="M149" i="2"/>
  <c r="M149" i="8" s="1"/>
  <c r="Q149" i="8" s="1"/>
  <c r="L137" i="8"/>
  <c r="N137" i="8" s="1"/>
  <c r="L64" i="16"/>
  <c r="M163" i="16"/>
  <c r="M163" i="17" s="1"/>
  <c r="Q163" i="17" s="1"/>
  <c r="L18" i="16"/>
  <c r="L138" i="17"/>
  <c r="N138" i="17" s="1"/>
  <c r="M65" i="16"/>
  <c r="M65" i="17" s="1"/>
  <c r="Q65" i="17" s="1"/>
  <c r="M144" i="2"/>
  <c r="M144" i="8" s="1"/>
  <c r="Q165" i="8"/>
  <c r="Q137" i="17"/>
  <c r="Q144" i="25"/>
  <c r="Q26" i="48" s="1"/>
  <c r="P26" i="48"/>
  <c r="Q158" i="17"/>
  <c r="Q137" i="25"/>
  <c r="Q25" i="48" s="1"/>
  <c r="P25" i="48"/>
  <c r="Q158" i="25"/>
  <c r="Q28" i="48" s="1"/>
  <c r="P28" i="48"/>
  <c r="Q165" i="17"/>
  <c r="Q158" i="8"/>
  <c r="Q144" i="17"/>
  <c r="Q165" i="25"/>
  <c r="Q29" i="48" s="1"/>
  <c r="P29" i="48"/>
  <c r="Q151" i="25"/>
  <c r="Q27" i="48" s="1"/>
  <c r="P27" i="48"/>
  <c r="Q116" i="25"/>
  <c r="Q22" i="48" s="1"/>
  <c r="P22" i="48"/>
  <c r="Q109" i="8"/>
  <c r="Q21" i="46" s="1"/>
  <c r="Q116" i="8"/>
  <c r="Q109" i="25"/>
  <c r="Q21" i="48" s="1"/>
  <c r="P21" i="48"/>
  <c r="Q123" i="25"/>
  <c r="Q23" i="48" s="1"/>
  <c r="P23" i="48"/>
  <c r="Q109" i="17"/>
  <c r="Q130" i="25"/>
  <c r="Q24" i="48" s="1"/>
  <c r="P24" i="48"/>
  <c r="Q95" i="25"/>
  <c r="Q19" i="48" s="1"/>
  <c r="P19" i="48"/>
  <c r="L74" i="8"/>
  <c r="N74" i="8" s="1"/>
  <c r="L12" i="8"/>
  <c r="N12" i="8" s="1"/>
  <c r="L158" i="16"/>
  <c r="L166" i="16"/>
  <c r="M27" i="16"/>
  <c r="M27" i="17" s="1"/>
  <c r="Q27" i="17" s="1"/>
  <c r="M141" i="16"/>
  <c r="M141" i="17" s="1"/>
  <c r="Q141" i="17" s="1"/>
  <c r="M19" i="16"/>
  <c r="M19" i="17" s="1"/>
  <c r="Q19" i="17" s="1"/>
  <c r="M100" i="2"/>
  <c r="M100" i="8" s="1"/>
  <c r="Q100" i="8" s="1"/>
  <c r="M81" i="16"/>
  <c r="M81" i="17" s="1"/>
  <c r="L64" i="17"/>
  <c r="N64" i="17" s="1"/>
  <c r="M74" i="16"/>
  <c r="M74" i="17" s="1"/>
  <c r="Q74" i="17" s="1"/>
  <c r="L50" i="17"/>
  <c r="N50" i="17" s="1"/>
  <c r="L135" i="2"/>
  <c r="L120" i="2"/>
  <c r="M17" i="2"/>
  <c r="M17" i="8" s="1"/>
  <c r="Q17" i="8" s="1"/>
  <c r="M86" i="16"/>
  <c r="M86" i="17" s="1"/>
  <c r="Q86" i="17" s="1"/>
  <c r="M29" i="16"/>
  <c r="M29" i="17" s="1"/>
  <c r="Q29" i="17" s="1"/>
  <c r="L35" i="16"/>
  <c r="L138" i="16"/>
  <c r="L40" i="16"/>
  <c r="L117" i="16"/>
  <c r="L65" i="17"/>
  <c r="N65" i="17" s="1"/>
  <c r="M31" i="16"/>
  <c r="M31" i="17" s="1"/>
  <c r="Q31" i="17" s="1"/>
  <c r="M143" i="2"/>
  <c r="M143" i="8" s="1"/>
  <c r="Q143" i="8" s="1"/>
  <c r="M16" i="16"/>
  <c r="M16" i="17" s="1"/>
  <c r="Q16" i="17" s="1"/>
  <c r="M173" i="16"/>
  <c r="M173" i="17" s="1"/>
  <c r="Q173" i="17" s="1"/>
  <c r="Q102" i="25"/>
  <c r="Q20" i="48" s="1"/>
  <c r="P20" i="48"/>
  <c r="L98" i="2"/>
  <c r="M134" i="2"/>
  <c r="M134" i="8" s="1"/>
  <c r="Q134" i="8" s="1"/>
  <c r="L128" i="16"/>
  <c r="L44" i="17"/>
  <c r="N44" i="17" s="1"/>
  <c r="L17" i="17"/>
  <c r="N17" i="17" s="1"/>
  <c r="L19" i="17"/>
  <c r="N19" i="17" s="1"/>
  <c r="L181" i="2"/>
  <c r="L168" i="2"/>
  <c r="L17" i="8"/>
  <c r="N17" i="8" s="1"/>
  <c r="L57" i="17"/>
  <c r="N57" i="17" s="1"/>
  <c r="L110" i="16"/>
  <c r="L103" i="17"/>
  <c r="N103" i="17" s="1"/>
  <c r="M164" i="16"/>
  <c r="M164" i="17" s="1"/>
  <c r="Q164" i="17" s="1"/>
  <c r="M41" i="16"/>
  <c r="M41" i="17" s="1"/>
  <c r="Q41" i="17" s="1"/>
  <c r="L31" i="16"/>
  <c r="Q95" i="17"/>
  <c r="Q81" i="8"/>
  <c r="M119" i="16"/>
  <c r="M119" i="17" s="1"/>
  <c r="Q119" i="17" s="1"/>
  <c r="L16" i="17"/>
  <c r="N16" i="17" s="1"/>
  <c r="Q88" i="8"/>
  <c r="Q81" i="25"/>
  <c r="Q17" i="48" s="1"/>
  <c r="P17" i="48"/>
  <c r="Q88" i="25"/>
  <c r="Q18" i="48" s="1"/>
  <c r="P18" i="48"/>
  <c r="M51" i="16"/>
  <c r="M51" i="17" s="1"/>
  <c r="Q51" i="17" s="1"/>
  <c r="Q32" i="25"/>
  <c r="Q10" i="48" s="1"/>
  <c r="P10" i="48"/>
  <c r="Q39" i="8"/>
  <c r="Q18" i="25"/>
  <c r="Q8" i="48" s="1"/>
  <c r="P8" i="48"/>
  <c r="Q39" i="25"/>
  <c r="Q11" i="48" s="1"/>
  <c r="P11" i="48"/>
  <c r="Q32" i="17"/>
  <c r="Q11" i="25"/>
  <c r="Q7" i="48" s="1"/>
  <c r="P7" i="48"/>
  <c r="Q74" i="25"/>
  <c r="Q16" i="48" s="1"/>
  <c r="P16" i="48"/>
  <c r="Q60" i="25"/>
  <c r="Q14" i="48" s="1"/>
  <c r="P14" i="48"/>
  <c r="Q53" i="25"/>
  <c r="Q13" i="48" s="1"/>
  <c r="P13" i="48"/>
  <c r="Q53" i="8"/>
  <c r="P13" i="46"/>
  <c r="Q67" i="17"/>
  <c r="Q11" i="8"/>
  <c r="Q46" i="8"/>
  <c r="Q67" i="8"/>
  <c r="Q25" i="25"/>
  <c r="Q9" i="48" s="1"/>
  <c r="P9" i="48"/>
  <c r="Q46" i="25"/>
  <c r="Q12" i="48" s="1"/>
  <c r="P12" i="48"/>
  <c r="Q67" i="25"/>
  <c r="Q15" i="48" s="1"/>
  <c r="P15" i="48"/>
  <c r="M84" i="16"/>
  <c r="M84" i="17" s="1"/>
  <c r="Q84" i="17" s="1"/>
  <c r="M95" i="2"/>
  <c r="M95" i="8" s="1"/>
  <c r="L99" i="2"/>
  <c r="M8" i="2"/>
  <c r="M8" i="8" s="1"/>
  <c r="Q8" i="8" s="1"/>
  <c r="M126" i="2"/>
  <c r="M126" i="8" s="1"/>
  <c r="Q126" i="8" s="1"/>
  <c r="L158" i="17"/>
  <c r="N158" i="17" s="1"/>
  <c r="L81" i="17"/>
  <c r="N81" i="17" s="1"/>
  <c r="L49" i="16"/>
  <c r="L29" i="17"/>
  <c r="N29" i="17" s="1"/>
  <c r="L58" i="16"/>
  <c r="L22" i="16"/>
  <c r="M18" i="16"/>
  <c r="M18" i="17" s="1"/>
  <c r="L35" i="17"/>
  <c r="N35" i="17" s="1"/>
  <c r="L72" i="16"/>
  <c r="L33" i="17"/>
  <c r="N33" i="17" s="1"/>
  <c r="L49" i="8"/>
  <c r="N49" i="8" s="1"/>
  <c r="L51" i="16"/>
  <c r="L95" i="8"/>
  <c r="N95" i="8" s="1"/>
  <c r="L99" i="8"/>
  <c r="N99" i="8" s="1"/>
  <c r="L8" i="8"/>
  <c r="N8" i="8" s="1"/>
  <c r="L30" i="17"/>
  <c r="N30" i="17" s="1"/>
  <c r="M57" i="16"/>
  <c r="M57" i="17" s="1"/>
  <c r="Q57" i="17" s="1"/>
  <c r="L58" i="17"/>
  <c r="N58" i="17" s="1"/>
  <c r="M22" i="16"/>
  <c r="M22" i="17" s="1"/>
  <c r="Q22" i="17" s="1"/>
  <c r="M110" i="16"/>
  <c r="M110" i="17" s="1"/>
  <c r="Q110" i="17" s="1"/>
  <c r="M72" i="16"/>
  <c r="M72" i="17" s="1"/>
  <c r="Q72" i="17" s="1"/>
  <c r="L84" i="17"/>
  <c r="N84" i="17" s="1"/>
  <c r="L177" i="8"/>
  <c r="N177" i="8" s="1"/>
  <c r="M49" i="2"/>
  <c r="M49" i="8" s="1"/>
  <c r="Q49" i="8" s="1"/>
  <c r="L102" i="8"/>
  <c r="N102" i="8" s="1"/>
  <c r="L30" i="16"/>
  <c r="M103" i="16"/>
  <c r="M103" i="17" s="1"/>
  <c r="Q103" i="17" s="1"/>
  <c r="L180" i="2"/>
  <c r="L101" i="8"/>
  <c r="N101" i="8" s="1"/>
  <c r="L90" i="8"/>
  <c r="N90" i="8" s="1"/>
  <c r="M79" i="16"/>
  <c r="M79" i="17" s="1"/>
  <c r="Q79" i="17" s="1"/>
  <c r="M94" i="16"/>
  <c r="M94" i="17" s="1"/>
  <c r="Q94" i="17" s="1"/>
  <c r="L152" i="17"/>
  <c r="N152" i="17" s="1"/>
  <c r="L46" i="16"/>
  <c r="M96" i="2"/>
  <c r="M96" i="8" s="1"/>
  <c r="Q96" i="8" s="1"/>
  <c r="L156" i="2"/>
  <c r="L13" i="17"/>
  <c r="N13" i="17" s="1"/>
  <c r="L165" i="17"/>
  <c r="N165" i="17" s="1"/>
  <c r="L77" i="16"/>
  <c r="L82" i="17"/>
  <c r="N82" i="17" s="1"/>
  <c r="L105" i="16"/>
  <c r="L154" i="16"/>
  <c r="M104" i="16"/>
  <c r="M104" i="17" s="1"/>
  <c r="Q104" i="17" s="1"/>
  <c r="M53" i="16"/>
  <c r="M53" i="17" s="1"/>
  <c r="L123" i="17"/>
  <c r="N123" i="17" s="1"/>
  <c r="L132" i="16"/>
  <c r="M162" i="16"/>
  <c r="M162" i="17" s="1"/>
  <c r="Q162" i="17" s="1"/>
  <c r="L88" i="16"/>
  <c r="L128" i="8"/>
  <c r="N128" i="8" s="1"/>
  <c r="L88" i="8"/>
  <c r="N88" i="8" s="1"/>
  <c r="L67" i="16"/>
  <c r="L62" i="16"/>
  <c r="M116" i="16"/>
  <c r="M116" i="17" s="1"/>
  <c r="L24" i="2"/>
  <c r="L88" i="2"/>
  <c r="M156" i="2"/>
  <c r="M156" i="8" s="1"/>
  <c r="Q156" i="8" s="1"/>
  <c r="L53" i="2"/>
  <c r="M166" i="2"/>
  <c r="M166" i="8" s="1"/>
  <c r="Q166" i="8" s="1"/>
  <c r="L157" i="8"/>
  <c r="N157" i="8" s="1"/>
  <c r="L165" i="16"/>
  <c r="L82" i="16"/>
  <c r="M154" i="16"/>
  <c r="M154" i="17" s="1"/>
  <c r="Q154" i="17" s="1"/>
  <c r="L53" i="17"/>
  <c r="N53" i="17" s="1"/>
  <c r="L79" i="17"/>
  <c r="N79" i="17" s="1"/>
  <c r="L109" i="16"/>
  <c r="L15" i="17"/>
  <c r="N15" i="17" s="1"/>
  <c r="L132" i="17"/>
  <c r="N132" i="17" s="1"/>
  <c r="L176" i="16"/>
  <c r="L94" i="16"/>
  <c r="M130" i="16"/>
  <c r="M130" i="17" s="1"/>
  <c r="L180" i="17"/>
  <c r="N180" i="17" s="1"/>
  <c r="L182" i="17"/>
  <c r="N182" i="17" s="1"/>
  <c r="L67" i="17"/>
  <c r="N67" i="17" s="1"/>
  <c r="M126" i="16"/>
  <c r="M126" i="17" s="1"/>
  <c r="Q126" i="17" s="1"/>
  <c r="L162" i="16"/>
  <c r="L45" i="16"/>
  <c r="L62" i="17"/>
  <c r="N62" i="17" s="1"/>
  <c r="L124" i="17"/>
  <c r="N124" i="17" s="1"/>
  <c r="M71" i="16"/>
  <c r="M71" i="17" s="1"/>
  <c r="Q71" i="17" s="1"/>
  <c r="L116" i="16"/>
  <c r="L142" i="17"/>
  <c r="N142" i="17" s="1"/>
  <c r="M88" i="16"/>
  <c r="M88" i="17" s="1"/>
  <c r="L167" i="16"/>
  <c r="M152" i="16"/>
  <c r="M152" i="17" s="1"/>
  <c r="Q152" i="17" s="1"/>
  <c r="L174" i="16"/>
  <c r="M159" i="16"/>
  <c r="M159" i="17" s="1"/>
  <c r="Q159" i="17" s="1"/>
  <c r="M31" i="2"/>
  <c r="M31" i="8" s="1"/>
  <c r="Q31" i="8" s="1"/>
  <c r="L24" i="8"/>
  <c r="N24" i="8" s="1"/>
  <c r="L96" i="2"/>
  <c r="M102" i="16"/>
  <c r="M102" i="17" s="1"/>
  <c r="L53" i="8"/>
  <c r="N53" i="8" s="1"/>
  <c r="M157" i="2"/>
  <c r="M157" i="8" s="1"/>
  <c r="Q157" i="8" s="1"/>
  <c r="M13" i="16"/>
  <c r="M13" i="17" s="1"/>
  <c r="Q13" i="17" s="1"/>
  <c r="L77" i="17"/>
  <c r="N77" i="17" s="1"/>
  <c r="M105" i="16"/>
  <c r="M105" i="17" s="1"/>
  <c r="Q105" i="17" s="1"/>
  <c r="L104" i="16"/>
  <c r="M123" i="16"/>
  <c r="M123" i="17" s="1"/>
  <c r="L15" i="16"/>
  <c r="M176" i="16"/>
  <c r="M176" i="17" s="1"/>
  <c r="Q176" i="17" s="1"/>
  <c r="L130" i="16"/>
  <c r="M182" i="16"/>
  <c r="M182" i="17" s="1"/>
  <c r="Q182" i="17" s="1"/>
  <c r="L126" i="16"/>
  <c r="L71" i="16"/>
  <c r="M142" i="16"/>
  <c r="M142" i="17" s="1"/>
  <c r="Q142" i="17" s="1"/>
  <c r="M167" i="16"/>
  <c r="M167" i="17" s="1"/>
  <c r="Q167" i="17" s="1"/>
  <c r="M174" i="16"/>
  <c r="M174" i="17" s="1"/>
  <c r="Q174" i="17" s="1"/>
  <c r="M46" i="16"/>
  <c r="M46" i="17" s="1"/>
  <c r="L31" i="2"/>
  <c r="L150" i="2"/>
  <c r="L128" i="2"/>
  <c r="L151" i="8"/>
  <c r="N151" i="8" s="1"/>
  <c r="L33" i="16"/>
  <c r="L101" i="2"/>
  <c r="M90" i="2"/>
  <c r="M90" i="8" s="1"/>
  <c r="Q90" i="8" s="1"/>
  <c r="L177" i="2"/>
  <c r="M4" i="25"/>
  <c r="N4" i="24"/>
  <c r="M4" i="8"/>
  <c r="N4" i="2"/>
  <c r="M4" i="17"/>
  <c r="N4" i="16"/>
  <c r="P8" i="46" l="1"/>
  <c r="Q8" i="46"/>
  <c r="P11" i="46"/>
  <c r="Q13" i="46"/>
  <c r="H27" i="48"/>
  <c r="I27" i="48" s="1"/>
  <c r="Q14" i="46"/>
  <c r="P21" i="46"/>
  <c r="H21" i="46" s="1"/>
  <c r="P14" i="46"/>
  <c r="H8" i="48"/>
  <c r="I8" i="48" s="1"/>
  <c r="H13" i="48"/>
  <c r="K13" i="48" s="1"/>
  <c r="H19" i="48"/>
  <c r="I19" i="48" s="1"/>
  <c r="H21" i="48"/>
  <c r="I21" i="48" s="1"/>
  <c r="H25" i="48"/>
  <c r="I25" i="48" s="1"/>
  <c r="G30" i="42"/>
  <c r="H30" i="42" s="1"/>
  <c r="Q28" i="46"/>
  <c r="H12" i="48"/>
  <c r="I12" i="48" s="1"/>
  <c r="H16" i="48"/>
  <c r="I16" i="48" s="1"/>
  <c r="H18" i="48"/>
  <c r="K18" i="48" s="1"/>
  <c r="H20" i="48"/>
  <c r="K20" i="48" s="1"/>
  <c r="H30" i="48"/>
  <c r="I30" i="48" s="1"/>
  <c r="AI27" i="42"/>
  <c r="H26" i="48"/>
  <c r="K26" i="48" s="1"/>
  <c r="P30" i="46"/>
  <c r="H30" i="46" s="1"/>
  <c r="H11" i="48"/>
  <c r="K11" i="48" s="1"/>
  <c r="H10" i="48"/>
  <c r="I10" i="48" s="1"/>
  <c r="H22" i="48"/>
  <c r="K22" i="48" s="1"/>
  <c r="H29" i="48"/>
  <c r="I29" i="48" s="1"/>
  <c r="H15" i="48"/>
  <c r="K15" i="48" s="1"/>
  <c r="H9" i="48"/>
  <c r="H14" i="48"/>
  <c r="I14" i="48" s="1"/>
  <c r="H7" i="48"/>
  <c r="K7" i="48" s="1"/>
  <c r="H17" i="48"/>
  <c r="H24" i="48"/>
  <c r="K24" i="48" s="1"/>
  <c r="H23" i="48"/>
  <c r="I23" i="48" s="1"/>
  <c r="H28" i="48"/>
  <c r="I28" i="48" s="1"/>
  <c r="Q11" i="46"/>
  <c r="H11" i="46" s="1"/>
  <c r="P10" i="47"/>
  <c r="Q10" i="47"/>
  <c r="H10" i="47" s="1"/>
  <c r="K10" i="47" s="1"/>
  <c r="U29" i="42"/>
  <c r="P20" i="46"/>
  <c r="P31" i="46"/>
  <c r="Q31" i="46"/>
  <c r="G31" i="42"/>
  <c r="P31" i="47"/>
  <c r="P22" i="46"/>
  <c r="Q31" i="47"/>
  <c r="U31" i="42"/>
  <c r="G21" i="42"/>
  <c r="J21" i="42" s="1"/>
  <c r="AI10" i="42"/>
  <c r="AL10" i="42" s="1"/>
  <c r="Q22" i="46"/>
  <c r="Q31" i="48"/>
  <c r="H31" i="48" s="1"/>
  <c r="AI31" i="42"/>
  <c r="U26" i="42"/>
  <c r="V26" i="42" s="1"/>
  <c r="G24" i="42"/>
  <c r="J24" i="42" s="1"/>
  <c r="P29" i="47"/>
  <c r="U19" i="42"/>
  <c r="X19" i="42" s="1"/>
  <c r="AI18" i="42"/>
  <c r="AL18" i="42" s="1"/>
  <c r="P17" i="46"/>
  <c r="P26" i="47"/>
  <c r="Q17" i="46"/>
  <c r="AI29" i="42"/>
  <c r="AL29" i="42" s="1"/>
  <c r="G29" i="42"/>
  <c r="J29" i="42" s="1"/>
  <c r="G28" i="42"/>
  <c r="J28" i="42" s="1"/>
  <c r="AI28" i="42"/>
  <c r="AJ28" i="42" s="1"/>
  <c r="Q10" i="46"/>
  <c r="P14" i="47"/>
  <c r="P28" i="46"/>
  <c r="H28" i="46" s="1"/>
  <c r="K30" i="48"/>
  <c r="P19" i="47"/>
  <c r="Q26" i="47"/>
  <c r="AI21" i="42"/>
  <c r="AJ21" i="42" s="1"/>
  <c r="Q19" i="47"/>
  <c r="P26" i="46"/>
  <c r="P30" i="47"/>
  <c r="AI30" i="42"/>
  <c r="AJ30" i="42" s="1"/>
  <c r="G8" i="42"/>
  <c r="H8" i="42" s="1"/>
  <c r="P10" i="46"/>
  <c r="Q30" i="47"/>
  <c r="G11" i="42"/>
  <c r="J11" i="42" s="1"/>
  <c r="G25" i="42"/>
  <c r="H25" i="42" s="1"/>
  <c r="G23" i="42"/>
  <c r="J23" i="42" s="1"/>
  <c r="AI25" i="42"/>
  <c r="AJ25" i="42" s="1"/>
  <c r="U7" i="42"/>
  <c r="X7" i="42" s="1"/>
  <c r="P15" i="46"/>
  <c r="Q14" i="47"/>
  <c r="P16" i="46"/>
  <c r="AI7" i="42"/>
  <c r="AJ7" i="42" s="1"/>
  <c r="U21" i="42"/>
  <c r="V21" i="42" s="1"/>
  <c r="Q15" i="46"/>
  <c r="Q16" i="46"/>
  <c r="U25" i="42"/>
  <c r="V25" i="42" s="1"/>
  <c r="P9" i="47"/>
  <c r="Q144" i="8"/>
  <c r="Q20" i="46"/>
  <c r="G20" i="42"/>
  <c r="J20" i="42" s="1"/>
  <c r="AI26" i="42"/>
  <c r="AL26" i="42" s="1"/>
  <c r="G17" i="42"/>
  <c r="J17" i="42" s="1"/>
  <c r="AI12" i="42"/>
  <c r="AJ12" i="42" s="1"/>
  <c r="Q11" i="47"/>
  <c r="P25" i="46"/>
  <c r="P25" i="47"/>
  <c r="U9" i="42"/>
  <c r="V9" i="42" s="1"/>
  <c r="P27" i="46"/>
  <c r="P7" i="46"/>
  <c r="Q29" i="47"/>
  <c r="Q27" i="46"/>
  <c r="Q28" i="47"/>
  <c r="Q25" i="47"/>
  <c r="Q25" i="46"/>
  <c r="P28" i="47"/>
  <c r="G22" i="42"/>
  <c r="H22" i="42" s="1"/>
  <c r="AI23" i="42"/>
  <c r="AL23" i="42" s="1"/>
  <c r="AI22" i="42"/>
  <c r="AJ22" i="42" s="1"/>
  <c r="P29" i="46"/>
  <c r="P27" i="47"/>
  <c r="AI24" i="42"/>
  <c r="AJ24" i="42" s="1"/>
  <c r="G12" i="42"/>
  <c r="H12" i="42" s="1"/>
  <c r="P11" i="47"/>
  <c r="K25" i="48"/>
  <c r="Q29" i="46"/>
  <c r="Q27" i="47"/>
  <c r="Q24" i="46"/>
  <c r="Q130" i="17"/>
  <c r="P24" i="47"/>
  <c r="P24" i="46"/>
  <c r="Q116" i="17"/>
  <c r="P22" i="47"/>
  <c r="Q123" i="17"/>
  <c r="P23" i="47"/>
  <c r="P21" i="47"/>
  <c r="P23" i="46"/>
  <c r="G7" i="42"/>
  <c r="J7" i="42" s="1"/>
  <c r="Q21" i="47"/>
  <c r="Q23" i="46"/>
  <c r="AI20" i="42"/>
  <c r="AL20" i="42" s="1"/>
  <c r="U16" i="42"/>
  <c r="X16" i="42" s="1"/>
  <c r="AI19" i="42"/>
  <c r="AJ19" i="42" s="1"/>
  <c r="Q7" i="46"/>
  <c r="Q9" i="47"/>
  <c r="Q95" i="8"/>
  <c r="Q19" i="46" s="1"/>
  <c r="P19" i="46"/>
  <c r="P18" i="46"/>
  <c r="Q102" i="17"/>
  <c r="Q20" i="47" s="1"/>
  <c r="H20" i="47" s="1"/>
  <c r="P20" i="47"/>
  <c r="Q88" i="17"/>
  <c r="P18" i="47"/>
  <c r="AI17" i="42"/>
  <c r="AL17" i="42" s="1"/>
  <c r="Q18" i="46"/>
  <c r="K17" i="48"/>
  <c r="I17" i="48"/>
  <c r="Q81" i="17"/>
  <c r="P17" i="47"/>
  <c r="U10" i="42"/>
  <c r="X10" i="42" s="1"/>
  <c r="AI14" i="42"/>
  <c r="AL14" i="42" s="1"/>
  <c r="U11" i="42"/>
  <c r="X11" i="42" s="1"/>
  <c r="AI9" i="42"/>
  <c r="AL9" i="42" s="1"/>
  <c r="G14" i="42"/>
  <c r="H14" i="42" s="1"/>
  <c r="G13" i="42"/>
  <c r="H13" i="42" s="1"/>
  <c r="AI8" i="42"/>
  <c r="AJ8" i="42" s="1"/>
  <c r="U15" i="42"/>
  <c r="X15" i="42" s="1"/>
  <c r="G10" i="42"/>
  <c r="J10" i="42" s="1"/>
  <c r="U14" i="42"/>
  <c r="V14" i="42" s="1"/>
  <c r="AI13" i="42"/>
  <c r="AL13" i="42" s="1"/>
  <c r="AI15" i="42"/>
  <c r="AL15" i="42" s="1"/>
  <c r="G16" i="42"/>
  <c r="J16" i="42" s="1"/>
  <c r="G15" i="42"/>
  <c r="J15" i="42" s="1"/>
  <c r="AI11" i="42"/>
  <c r="AL11" i="42" s="1"/>
  <c r="AI16" i="42"/>
  <c r="AL16" i="42" s="1"/>
  <c r="G9" i="42"/>
  <c r="J9" i="42" s="1"/>
  <c r="Q4" i="17"/>
  <c r="Q6" i="47" s="1"/>
  <c r="P6" i="47"/>
  <c r="H13" i="46"/>
  <c r="P16" i="47"/>
  <c r="P9" i="46"/>
  <c r="Q4" i="25"/>
  <c r="Q6" i="48" s="1"/>
  <c r="P6" i="48"/>
  <c r="Q53" i="17"/>
  <c r="P13" i="47"/>
  <c r="K8" i="48"/>
  <c r="Q16" i="47"/>
  <c r="Q9" i="46"/>
  <c r="Q4" i="8"/>
  <c r="Q6" i="46" s="1"/>
  <c r="P6" i="46"/>
  <c r="Q46" i="17"/>
  <c r="P12" i="47"/>
  <c r="Q18" i="17"/>
  <c r="Q8" i="47" s="1"/>
  <c r="P8" i="47"/>
  <c r="H14" i="46"/>
  <c r="I14" i="46" s="1"/>
  <c r="P12" i="46"/>
  <c r="P15" i="47"/>
  <c r="H8" i="46"/>
  <c r="P7" i="47"/>
  <c r="I9" i="48"/>
  <c r="K9" i="48"/>
  <c r="Q12" i="46"/>
  <c r="Q15" i="47"/>
  <c r="Q7" i="47"/>
  <c r="U28" i="42"/>
  <c r="V28" i="42" s="1"/>
  <c r="U30" i="42"/>
  <c r="V30" i="42" s="1"/>
  <c r="G18" i="42"/>
  <c r="H18" i="42" s="1"/>
  <c r="U27" i="42"/>
  <c r="V27" i="42" s="1"/>
  <c r="G27" i="42"/>
  <c r="J27" i="42" s="1"/>
  <c r="AL28" i="42"/>
  <c r="N5" i="24"/>
  <c r="K4" i="25"/>
  <c r="AJ27" i="42"/>
  <c r="AL27" i="42"/>
  <c r="X26" i="42"/>
  <c r="N5" i="16"/>
  <c r="K4" i="17"/>
  <c r="K4" i="8"/>
  <c r="N5" i="2"/>
  <c r="X29" i="42"/>
  <c r="V29" i="42"/>
  <c r="K12" i="48" l="1"/>
  <c r="I11" i="48"/>
  <c r="H6" i="46"/>
  <c r="H29" i="47"/>
  <c r="H9" i="47"/>
  <c r="K9" i="47" s="1"/>
  <c r="AL21" i="42"/>
  <c r="I18" i="48"/>
  <c r="I22" i="48"/>
  <c r="K23" i="48"/>
  <c r="I13" i="48"/>
  <c r="H14" i="47"/>
  <c r="K14" i="47" s="1"/>
  <c r="K27" i="48"/>
  <c r="K29" i="48"/>
  <c r="K19" i="48"/>
  <c r="H6" i="48"/>
  <c r="M30" i="48" s="1"/>
  <c r="N30" i="48" s="1"/>
  <c r="H15" i="46"/>
  <c r="I15" i="46" s="1"/>
  <c r="I15" i="48"/>
  <c r="H21" i="47"/>
  <c r="I21" i="47" s="1"/>
  <c r="H25" i="46"/>
  <c r="H23" i="42"/>
  <c r="H12" i="46"/>
  <c r="I12" i="46" s="1"/>
  <c r="H22" i="46"/>
  <c r="I22" i="46" s="1"/>
  <c r="K14" i="48"/>
  <c r="I20" i="48"/>
  <c r="K28" i="48"/>
  <c r="H30" i="47"/>
  <c r="I30" i="47" s="1"/>
  <c r="H26" i="47"/>
  <c r="K21" i="48"/>
  <c r="H8" i="47"/>
  <c r="I8" i="47" s="1"/>
  <c r="H21" i="42"/>
  <c r="K10" i="48"/>
  <c r="H7" i="46"/>
  <c r="K7" i="46" s="1"/>
  <c r="I24" i="48"/>
  <c r="H20" i="46"/>
  <c r="K20" i="46" s="1"/>
  <c r="V19" i="42"/>
  <c r="K16" i="48"/>
  <c r="H27" i="47"/>
  <c r="K27" i="47" s="1"/>
  <c r="H24" i="46"/>
  <c r="I24" i="46" s="1"/>
  <c r="H28" i="47"/>
  <c r="I28" i="47" s="1"/>
  <c r="J25" i="42"/>
  <c r="J30" i="42"/>
  <c r="I10" i="47"/>
  <c r="I26" i="48"/>
  <c r="H16" i="46"/>
  <c r="I16" i="46" s="1"/>
  <c r="G19" i="42"/>
  <c r="J19" i="42" s="1"/>
  <c r="H31" i="46"/>
  <c r="I31" i="46" s="1"/>
  <c r="I30" i="46"/>
  <c r="K30" i="46"/>
  <c r="H7" i="47"/>
  <c r="I7" i="47" s="1"/>
  <c r="H16" i="47"/>
  <c r="I16" i="47" s="1"/>
  <c r="H31" i="47"/>
  <c r="I31" i="47" s="1"/>
  <c r="I7" i="48"/>
  <c r="H15" i="47"/>
  <c r="I15" i="47" s="1"/>
  <c r="H6" i="47"/>
  <c r="M6" i="47" s="1"/>
  <c r="N6" i="47" s="1"/>
  <c r="H27" i="46"/>
  <c r="I27" i="46" s="1"/>
  <c r="H19" i="47"/>
  <c r="K19" i="47" s="1"/>
  <c r="H11" i="47"/>
  <c r="K11" i="47" s="1"/>
  <c r="H23" i="46"/>
  <c r="K23" i="46" s="1"/>
  <c r="H25" i="47"/>
  <c r="I25" i="47" s="1"/>
  <c r="H10" i="46"/>
  <c r="K10" i="46" s="1"/>
  <c r="H17" i="46"/>
  <c r="I17" i="46" s="1"/>
  <c r="AJ10" i="42"/>
  <c r="H24" i="42"/>
  <c r="H11" i="42"/>
  <c r="AJ9" i="42"/>
  <c r="H29" i="42"/>
  <c r="AL30" i="42"/>
  <c r="H28" i="42"/>
  <c r="J8" i="42"/>
  <c r="AJ26" i="42"/>
  <c r="AL7" i="42"/>
  <c r="X25" i="42"/>
  <c r="AJ31" i="42"/>
  <c r="AL31" i="42"/>
  <c r="J12" i="42"/>
  <c r="H20" i="42"/>
  <c r="X9" i="42"/>
  <c r="M31" i="48"/>
  <c r="N31" i="48" s="1"/>
  <c r="I31" i="48"/>
  <c r="K31" i="48"/>
  <c r="V31" i="42"/>
  <c r="W31" i="42"/>
  <c r="X31" i="42" s="1"/>
  <c r="J31" i="42"/>
  <c r="H31" i="42"/>
  <c r="AL19" i="42"/>
  <c r="H10" i="42"/>
  <c r="AJ18" i="42"/>
  <c r="H15" i="42"/>
  <c r="V10" i="42"/>
  <c r="AL25" i="42"/>
  <c r="J13" i="42"/>
  <c r="X14" i="42"/>
  <c r="AJ29" i="42"/>
  <c r="J22" i="42"/>
  <c r="W30" i="42"/>
  <c r="X30" i="42" s="1"/>
  <c r="X21" i="42"/>
  <c r="V7" i="42"/>
  <c r="AL24" i="42"/>
  <c r="AJ14" i="42"/>
  <c r="AL8" i="42"/>
  <c r="AJ23" i="42"/>
  <c r="H17" i="42"/>
  <c r="V11" i="42"/>
  <c r="AL22" i="42"/>
  <c r="I14" i="47"/>
  <c r="V16" i="42"/>
  <c r="G6" i="42"/>
  <c r="H7" i="42"/>
  <c r="AJ11" i="42"/>
  <c r="AL12" i="42"/>
  <c r="U20" i="42"/>
  <c r="X20" i="42" s="1"/>
  <c r="Q26" i="46"/>
  <c r="H26" i="46" s="1"/>
  <c r="G26" i="42"/>
  <c r="X27" i="42"/>
  <c r="AJ13" i="42"/>
  <c r="I9" i="47"/>
  <c r="AJ20" i="42"/>
  <c r="X28" i="42"/>
  <c r="J18" i="42"/>
  <c r="K27" i="46"/>
  <c r="K25" i="47"/>
  <c r="AJ15" i="42"/>
  <c r="AJ16" i="42"/>
  <c r="K28" i="47"/>
  <c r="H29" i="46"/>
  <c r="U6" i="42"/>
  <c r="V6" i="42" s="1"/>
  <c r="I28" i="46"/>
  <c r="K28" i="46"/>
  <c r="K25" i="46"/>
  <c r="I25" i="46"/>
  <c r="I29" i="47"/>
  <c r="K29" i="47"/>
  <c r="M21" i="48"/>
  <c r="N21" i="48" s="1"/>
  <c r="Q22" i="47"/>
  <c r="H22" i="47" s="1"/>
  <c r="U22" i="42"/>
  <c r="Q23" i="47"/>
  <c r="H23" i="47" s="1"/>
  <c r="U23" i="42"/>
  <c r="I21" i="46"/>
  <c r="K21" i="46"/>
  <c r="U24" i="42"/>
  <c r="Q24" i="47"/>
  <c r="H24" i="47" s="1"/>
  <c r="Q17" i="47"/>
  <c r="H17" i="47" s="1"/>
  <c r="U17" i="42"/>
  <c r="U18" i="42"/>
  <c r="Q18" i="47"/>
  <c r="H18" i="47" s="1"/>
  <c r="M20" i="48"/>
  <c r="N20" i="48" s="1"/>
  <c r="H18" i="46"/>
  <c r="V15" i="42"/>
  <c r="AJ17" i="42"/>
  <c r="H19" i="46"/>
  <c r="I20" i="47"/>
  <c r="K20" i="47"/>
  <c r="H16" i="42"/>
  <c r="M15" i="48"/>
  <c r="N15" i="48" s="1"/>
  <c r="J14" i="42"/>
  <c r="H9" i="42"/>
  <c r="M13" i="48"/>
  <c r="N13" i="48" s="1"/>
  <c r="AI6" i="42"/>
  <c r="AN11" i="42" s="1"/>
  <c r="AO11" i="42" s="1"/>
  <c r="M7" i="48"/>
  <c r="N7" i="48" s="1"/>
  <c r="U8" i="42"/>
  <c r="K8" i="46"/>
  <c r="I8" i="46"/>
  <c r="K14" i="46"/>
  <c r="Q12" i="47"/>
  <c r="H12" i="47" s="1"/>
  <c r="U12" i="42"/>
  <c r="K13" i="46"/>
  <c r="I13" i="46"/>
  <c r="K11" i="46"/>
  <c r="I11" i="46"/>
  <c r="I6" i="46"/>
  <c r="M6" i="46"/>
  <c r="N6" i="46" s="1"/>
  <c r="K6" i="46"/>
  <c r="Q13" i="47"/>
  <c r="H13" i="47" s="1"/>
  <c r="U13" i="42"/>
  <c r="H9" i="46"/>
  <c r="K15" i="47"/>
  <c r="H27" i="42"/>
  <c r="K5" i="25"/>
  <c r="N6" i="24"/>
  <c r="N6" i="2"/>
  <c r="K5" i="8"/>
  <c r="N6" i="16"/>
  <c r="K5" i="17"/>
  <c r="M7" i="46" l="1"/>
  <c r="N7" i="46" s="1"/>
  <c r="K30" i="47"/>
  <c r="M16" i="48"/>
  <c r="N16" i="48" s="1"/>
  <c r="M23" i="48"/>
  <c r="N23" i="48" s="1"/>
  <c r="M24" i="48"/>
  <c r="N24" i="48" s="1"/>
  <c r="M25" i="48"/>
  <c r="N25" i="48" s="1"/>
  <c r="I6" i="48"/>
  <c r="M11" i="48"/>
  <c r="N11" i="48" s="1"/>
  <c r="M18" i="48"/>
  <c r="N18" i="48" s="1"/>
  <c r="M29" i="48"/>
  <c r="N29" i="48" s="1"/>
  <c r="K31" i="46"/>
  <c r="M14" i="48"/>
  <c r="N14" i="48" s="1"/>
  <c r="K6" i="48"/>
  <c r="M8" i="48"/>
  <c r="N8" i="48" s="1"/>
  <c r="M17" i="48"/>
  <c r="N17" i="48" s="1"/>
  <c r="M26" i="48"/>
  <c r="N26" i="48" s="1"/>
  <c r="M6" i="48"/>
  <c r="N6" i="48" s="1"/>
  <c r="M10" i="48"/>
  <c r="N10" i="48" s="1"/>
  <c r="M28" i="48"/>
  <c r="N28" i="48" s="1"/>
  <c r="K6" i="47"/>
  <c r="M9" i="48"/>
  <c r="N9" i="48" s="1"/>
  <c r="M12" i="48"/>
  <c r="N12" i="48" s="1"/>
  <c r="M19" i="48"/>
  <c r="N19" i="48" s="1"/>
  <c r="M22" i="48"/>
  <c r="N22" i="48" s="1"/>
  <c r="M27" i="48"/>
  <c r="N27" i="48" s="1"/>
  <c r="K8" i="47"/>
  <c r="K12" i="46"/>
  <c r="H19" i="42"/>
  <c r="K15" i="46"/>
  <c r="M8" i="46"/>
  <c r="N8" i="46" s="1"/>
  <c r="I7" i="46"/>
  <c r="K21" i="47"/>
  <c r="K7" i="47"/>
  <c r="I27" i="47"/>
  <c r="K24" i="46"/>
  <c r="L23" i="42"/>
  <c r="M23" i="42" s="1"/>
  <c r="K22" i="46"/>
  <c r="K17" i="46"/>
  <c r="L26" i="42"/>
  <c r="M26" i="42" s="1"/>
  <c r="L25" i="42"/>
  <c r="M25" i="42" s="1"/>
  <c r="I26" i="47"/>
  <c r="K26" i="47"/>
  <c r="I20" i="46"/>
  <c r="K16" i="46"/>
  <c r="I23" i="46"/>
  <c r="K16" i="47"/>
  <c r="K31" i="47"/>
  <c r="M9" i="47"/>
  <c r="N9" i="47" s="1"/>
  <c r="L17" i="42"/>
  <c r="M17" i="42" s="1"/>
  <c r="L16" i="42"/>
  <c r="M16" i="42" s="1"/>
  <c r="M11" i="47"/>
  <c r="N11" i="47" s="1"/>
  <c r="M7" i="47"/>
  <c r="N7" i="47" s="1"/>
  <c r="L30" i="42"/>
  <c r="M30" i="42" s="1"/>
  <c r="I6" i="47"/>
  <c r="M12" i="46"/>
  <c r="N12" i="46" s="1"/>
  <c r="M8" i="47"/>
  <c r="N8" i="47" s="1"/>
  <c r="M10" i="47"/>
  <c r="N10" i="47" s="1"/>
  <c r="I19" i="47"/>
  <c r="M16" i="47"/>
  <c r="N16" i="47" s="1"/>
  <c r="I10" i="46"/>
  <c r="I11" i="47"/>
  <c r="L8" i="42"/>
  <c r="M8" i="42" s="1"/>
  <c r="L7" i="42"/>
  <c r="M7" i="42" s="1"/>
  <c r="AN30" i="42"/>
  <c r="AO30" i="42" s="1"/>
  <c r="AN25" i="42"/>
  <c r="AO25" i="42" s="1"/>
  <c r="AN29" i="42"/>
  <c r="AO29" i="42" s="1"/>
  <c r="M31" i="47"/>
  <c r="N31" i="47" s="1"/>
  <c r="L20" i="42"/>
  <c r="M20" i="42" s="1"/>
  <c r="L22" i="42"/>
  <c r="M22" i="42" s="1"/>
  <c r="L27" i="42"/>
  <c r="M27" i="42" s="1"/>
  <c r="M31" i="46"/>
  <c r="N31" i="46" s="1"/>
  <c r="Z31" i="42"/>
  <c r="AA31" i="42" s="1"/>
  <c r="L29" i="42"/>
  <c r="M29" i="42" s="1"/>
  <c r="L12" i="42"/>
  <c r="M12" i="42" s="1"/>
  <c r="L28" i="42"/>
  <c r="M28" i="42" s="1"/>
  <c r="L31" i="42"/>
  <c r="M31" i="42" s="1"/>
  <c r="AN31" i="42"/>
  <c r="AO31" i="42" s="1"/>
  <c r="X6" i="42"/>
  <c r="Z30" i="42"/>
  <c r="AA30" i="42" s="1"/>
  <c r="M30" i="47"/>
  <c r="N30" i="47" s="1"/>
  <c r="M30" i="46"/>
  <c r="N30" i="46" s="1"/>
  <c r="Z6" i="42"/>
  <c r="AA6" i="42" s="1"/>
  <c r="Z7" i="42"/>
  <c r="AA7" i="42" s="1"/>
  <c r="L11" i="42"/>
  <c r="M11" i="42" s="1"/>
  <c r="L19" i="42"/>
  <c r="M19" i="42" s="1"/>
  <c r="L6" i="42"/>
  <c r="M6" i="42" s="1"/>
  <c r="L21" i="42"/>
  <c r="M21" i="42" s="1"/>
  <c r="AN24" i="42"/>
  <c r="AO24" i="42" s="1"/>
  <c r="V20" i="42"/>
  <c r="L10" i="42"/>
  <c r="M10" i="42" s="1"/>
  <c r="L13" i="42"/>
  <c r="M13" i="42" s="1"/>
  <c r="L15" i="42"/>
  <c r="M15" i="42" s="1"/>
  <c r="L9" i="42"/>
  <c r="M9" i="42" s="1"/>
  <c r="L18" i="42"/>
  <c r="M18" i="42" s="1"/>
  <c r="H6" i="42"/>
  <c r="J6" i="42"/>
  <c r="L14" i="42"/>
  <c r="M14" i="42" s="1"/>
  <c r="L24" i="42"/>
  <c r="M24" i="42" s="1"/>
  <c r="Z15" i="42"/>
  <c r="AA15" i="42" s="1"/>
  <c r="J26" i="42"/>
  <c r="H26" i="42"/>
  <c r="I26" i="46"/>
  <c r="K26" i="46"/>
  <c r="Z19" i="42"/>
  <c r="AA19" i="42" s="1"/>
  <c r="Z23" i="42"/>
  <c r="AA23" i="42" s="1"/>
  <c r="AN26" i="42"/>
  <c r="AO26" i="42" s="1"/>
  <c r="AN28" i="42"/>
  <c r="AO28" i="42" s="1"/>
  <c r="AN21" i="42"/>
  <c r="AO21" i="42" s="1"/>
  <c r="AN27" i="42"/>
  <c r="AO27" i="42" s="1"/>
  <c r="AN17" i="42"/>
  <c r="AO17" i="42" s="1"/>
  <c r="AN22" i="42"/>
  <c r="AO22" i="42" s="1"/>
  <c r="Z20" i="42"/>
  <c r="AA20" i="42" s="1"/>
  <c r="AN23" i="42"/>
  <c r="AO23" i="42" s="1"/>
  <c r="Z25" i="42"/>
  <c r="AA25" i="42" s="1"/>
  <c r="AN19" i="42"/>
  <c r="AO19" i="42" s="1"/>
  <c r="AN18" i="42"/>
  <c r="AO18" i="42" s="1"/>
  <c r="AN20" i="42"/>
  <c r="AO20" i="42" s="1"/>
  <c r="M26" i="47"/>
  <c r="N26" i="47" s="1"/>
  <c r="Z26" i="42"/>
  <c r="AA26" i="42" s="1"/>
  <c r="M28" i="46"/>
  <c r="N28" i="46" s="1"/>
  <c r="M29" i="46"/>
  <c r="N29" i="46" s="1"/>
  <c r="I29" i="46"/>
  <c r="K29" i="46"/>
  <c r="M28" i="47"/>
  <c r="N28" i="47" s="1"/>
  <c r="M27" i="47"/>
  <c r="N27" i="47" s="1"/>
  <c r="M15" i="47"/>
  <c r="N15" i="47" s="1"/>
  <c r="Z11" i="42"/>
  <c r="AA11" i="42" s="1"/>
  <c r="Z24" i="42"/>
  <c r="AA24" i="42" s="1"/>
  <c r="Z17" i="42"/>
  <c r="AA17" i="42" s="1"/>
  <c r="Z27" i="42"/>
  <c r="AA27" i="42" s="1"/>
  <c r="Z18" i="42"/>
  <c r="AA18" i="42" s="1"/>
  <c r="M25" i="46"/>
  <c r="N25" i="46" s="1"/>
  <c r="M27" i="46"/>
  <c r="N27" i="46" s="1"/>
  <c r="M26" i="46"/>
  <c r="N26" i="46" s="1"/>
  <c r="Z9" i="42"/>
  <c r="AA9" i="42" s="1"/>
  <c r="Z29" i="42"/>
  <c r="AA29" i="42" s="1"/>
  <c r="Z10" i="42"/>
  <c r="AA10" i="42" s="1"/>
  <c r="Z8" i="42"/>
  <c r="AA8" i="42" s="1"/>
  <c r="Z21" i="42"/>
  <c r="AA21" i="42" s="1"/>
  <c r="Z22" i="42"/>
  <c r="AA22" i="42" s="1"/>
  <c r="Z28" i="42"/>
  <c r="AA28" i="42" s="1"/>
  <c r="Z13" i="42"/>
  <c r="AA13" i="42" s="1"/>
  <c r="M29" i="47"/>
  <c r="N29" i="47" s="1"/>
  <c r="M25" i="47"/>
  <c r="N25" i="47" s="1"/>
  <c r="M21" i="47"/>
  <c r="N21" i="47" s="1"/>
  <c r="X24" i="42"/>
  <c r="V24" i="42"/>
  <c r="M21" i="46"/>
  <c r="N21" i="46" s="1"/>
  <c r="M22" i="46"/>
  <c r="N22" i="46" s="1"/>
  <c r="X23" i="42"/>
  <c r="V23" i="42"/>
  <c r="M23" i="46"/>
  <c r="N23" i="46" s="1"/>
  <c r="M23" i="47"/>
  <c r="N23" i="47" s="1"/>
  <c r="K23" i="47"/>
  <c r="I23" i="47"/>
  <c r="X22" i="42"/>
  <c r="V22" i="42"/>
  <c r="M24" i="47"/>
  <c r="N24" i="47" s="1"/>
  <c r="K24" i="47"/>
  <c r="I24" i="47"/>
  <c r="M22" i="47"/>
  <c r="N22" i="47" s="1"/>
  <c r="K22" i="47"/>
  <c r="I22" i="47"/>
  <c r="M24" i="46"/>
  <c r="N24" i="46" s="1"/>
  <c r="M19" i="47"/>
  <c r="N19" i="47" s="1"/>
  <c r="M18" i="47"/>
  <c r="N18" i="47" s="1"/>
  <c r="K18" i="47"/>
  <c r="I18" i="47"/>
  <c r="M17" i="46"/>
  <c r="N17" i="46" s="1"/>
  <c r="M17" i="47"/>
  <c r="N17" i="47" s="1"/>
  <c r="I17" i="47"/>
  <c r="K17" i="47"/>
  <c r="V18" i="42"/>
  <c r="X18" i="42"/>
  <c r="M20" i="46"/>
  <c r="N20" i="46" s="1"/>
  <c r="M20" i="47"/>
  <c r="N20" i="47" s="1"/>
  <c r="M19" i="46"/>
  <c r="N19" i="46" s="1"/>
  <c r="K19" i="46"/>
  <c r="I19" i="46"/>
  <c r="M18" i="46"/>
  <c r="N18" i="46" s="1"/>
  <c r="K18" i="46"/>
  <c r="I18" i="46"/>
  <c r="V17" i="42"/>
  <c r="X17" i="42"/>
  <c r="Z16" i="42"/>
  <c r="AA16" i="42" s="1"/>
  <c r="AN8" i="42"/>
  <c r="AO8" i="42" s="1"/>
  <c r="AN7" i="42"/>
  <c r="AO7" i="42" s="1"/>
  <c r="AN15" i="42"/>
  <c r="AO15" i="42" s="1"/>
  <c r="AL6" i="42"/>
  <c r="AN6" i="42"/>
  <c r="AO6" i="42" s="1"/>
  <c r="AN13" i="42"/>
  <c r="AO13" i="42" s="1"/>
  <c r="Z12" i="42"/>
  <c r="AA12" i="42" s="1"/>
  <c r="AN12" i="42"/>
  <c r="AO12" i="42" s="1"/>
  <c r="AN16" i="42"/>
  <c r="AO16" i="42" s="1"/>
  <c r="AJ6" i="42"/>
  <c r="AN14" i="42"/>
  <c r="AO14" i="42" s="1"/>
  <c r="AN10" i="42"/>
  <c r="AO10" i="42" s="1"/>
  <c r="AN9" i="42"/>
  <c r="AO9" i="42" s="1"/>
  <c r="M13" i="46"/>
  <c r="N13" i="46" s="1"/>
  <c r="M14" i="46"/>
  <c r="N14" i="46" s="1"/>
  <c r="V8" i="42"/>
  <c r="X8" i="42"/>
  <c r="V13" i="42"/>
  <c r="X13" i="42"/>
  <c r="V12" i="42"/>
  <c r="X12" i="42"/>
  <c r="M13" i="47"/>
  <c r="N13" i="47" s="1"/>
  <c r="I13" i="47"/>
  <c r="K13" i="47"/>
  <c r="M11" i="46"/>
  <c r="N11" i="46" s="1"/>
  <c r="M12" i="47"/>
  <c r="N12" i="47" s="1"/>
  <c r="K12" i="47"/>
  <c r="I12" i="47"/>
  <c r="Z14" i="42"/>
  <c r="AA14" i="42" s="1"/>
  <c r="M15" i="46"/>
  <c r="N15" i="46" s="1"/>
  <c r="M16" i="46"/>
  <c r="N16" i="46" s="1"/>
  <c r="I9" i="46"/>
  <c r="K9" i="46"/>
  <c r="M9" i="46"/>
  <c r="N9" i="46" s="1"/>
  <c r="M14" i="47"/>
  <c r="N14" i="47" s="1"/>
  <c r="M10" i="46"/>
  <c r="N10" i="46" s="1"/>
  <c r="K6" i="25"/>
  <c r="N7" i="24"/>
  <c r="K6" i="17"/>
  <c r="N7" i="16"/>
  <c r="N7" i="2"/>
  <c r="K6" i="8"/>
  <c r="N8" i="24" l="1"/>
  <c r="K7" i="25"/>
  <c r="N8" i="2"/>
  <c r="K7" i="8"/>
  <c r="N8" i="16"/>
  <c r="K7" i="17"/>
  <c r="N9" i="24" l="1"/>
  <c r="K8" i="25"/>
  <c r="K8" i="17"/>
  <c r="N9" i="16"/>
  <c r="N9" i="2"/>
  <c r="K8" i="8"/>
  <c r="N10" i="24" l="1"/>
  <c r="K9" i="25"/>
  <c r="K9" i="8"/>
  <c r="N10" i="2"/>
  <c r="K9" i="17"/>
  <c r="N10" i="16"/>
  <c r="N11" i="24" l="1"/>
  <c r="K10" i="25"/>
  <c r="K10" i="17"/>
  <c r="N11" i="16"/>
  <c r="N11" i="2"/>
  <c r="K10" i="8"/>
  <c r="N12" i="24" l="1"/>
  <c r="K11" i="25"/>
  <c r="K11" i="8"/>
  <c r="N12" i="2"/>
  <c r="K11" i="17"/>
  <c r="N12" i="16"/>
  <c r="N13" i="24" l="1"/>
  <c r="K12" i="25"/>
  <c r="N13" i="16"/>
  <c r="K12" i="17"/>
  <c r="K12" i="8"/>
  <c r="N13" i="2"/>
  <c r="N14" i="24" l="1"/>
  <c r="K13" i="25"/>
  <c r="N14" i="2"/>
  <c r="K13" i="8"/>
  <c r="K13" i="17"/>
  <c r="N14" i="16"/>
  <c r="K14" i="25" l="1"/>
  <c r="N15" i="24"/>
  <c r="K14" i="17"/>
  <c r="N15" i="16"/>
  <c r="K14" i="8"/>
  <c r="N15" i="2"/>
  <c r="K15" i="25" l="1"/>
  <c r="N16" i="24"/>
  <c r="K15" i="8"/>
  <c r="N16" i="2"/>
  <c r="K15" i="17"/>
  <c r="N16" i="16"/>
  <c r="K16" i="25" l="1"/>
  <c r="N17" i="24"/>
  <c r="N17" i="16"/>
  <c r="K16" i="17"/>
  <c r="K16" i="8"/>
  <c r="N17" i="2"/>
  <c r="N18" i="24" l="1"/>
  <c r="K17" i="25"/>
  <c r="N18" i="2"/>
  <c r="K17" i="8"/>
  <c r="N18" i="16"/>
  <c r="K17" i="17"/>
  <c r="K18" i="25" l="1"/>
  <c r="N19" i="24"/>
  <c r="N19" i="16"/>
  <c r="K18" i="17"/>
  <c r="N19" i="2"/>
  <c r="K18" i="8"/>
  <c r="K19" i="25" l="1"/>
  <c r="N20" i="24"/>
  <c r="N20" i="2"/>
  <c r="K19" i="8"/>
  <c r="K19" i="17"/>
  <c r="N20" i="16"/>
  <c r="K20" i="25" l="1"/>
  <c r="N21" i="24"/>
  <c r="K20" i="17"/>
  <c r="N21" i="16"/>
  <c r="K20" i="8"/>
  <c r="N21" i="2"/>
  <c r="K21" i="25" l="1"/>
  <c r="N22" i="24"/>
  <c r="K21" i="8"/>
  <c r="N22" i="2"/>
  <c r="N22" i="16"/>
  <c r="K21" i="17"/>
  <c r="K22" i="25" l="1"/>
  <c r="N23" i="24"/>
  <c r="K22" i="17"/>
  <c r="N23" i="16"/>
  <c r="K22" i="8"/>
  <c r="N23" i="2"/>
  <c r="N24" i="24" l="1"/>
  <c r="K23" i="25"/>
  <c r="N24" i="2"/>
  <c r="K23" i="8"/>
  <c r="N24" i="16"/>
  <c r="K23" i="17"/>
  <c r="K24" i="25" l="1"/>
  <c r="N25" i="24"/>
  <c r="N25" i="16"/>
  <c r="K24" i="17"/>
  <c r="N25" i="2"/>
  <c r="K24" i="8"/>
  <c r="K25" i="25" l="1"/>
  <c r="N26" i="24"/>
  <c r="K25" i="8"/>
  <c r="N26" i="2"/>
  <c r="K25" i="17"/>
  <c r="N26" i="16"/>
  <c r="K26" i="25" l="1"/>
  <c r="N27" i="24"/>
  <c r="N27" i="16"/>
  <c r="K26" i="17"/>
  <c r="K26" i="8"/>
  <c r="N27" i="2"/>
  <c r="K27" i="25" l="1"/>
  <c r="N28" i="24"/>
  <c r="K27" i="8"/>
  <c r="N28" i="2"/>
  <c r="K27" i="17"/>
  <c r="N28" i="16"/>
  <c r="K28" i="25" l="1"/>
  <c r="N29" i="24"/>
  <c r="K28" i="17"/>
  <c r="N29" i="16"/>
  <c r="K28" i="8"/>
  <c r="N29" i="2"/>
  <c r="N30" i="24" l="1"/>
  <c r="K29" i="25"/>
  <c r="K29" i="8"/>
  <c r="N30" i="2"/>
  <c r="K29" i="17"/>
  <c r="N30" i="16"/>
  <c r="N31" i="24" l="1"/>
  <c r="K30" i="25"/>
  <c r="K30" i="17"/>
  <c r="N31" i="16"/>
  <c r="K30" i="8"/>
  <c r="N31" i="2"/>
  <c r="K31" i="25" l="1"/>
  <c r="N32" i="24"/>
  <c r="K31" i="8"/>
  <c r="N32" i="2"/>
  <c r="K31" i="17"/>
  <c r="N32" i="16"/>
  <c r="K32" i="25" l="1"/>
  <c r="N33" i="24"/>
  <c r="K32" i="17"/>
  <c r="N33" i="16"/>
  <c r="N33" i="2"/>
  <c r="K32" i="8"/>
  <c r="N34" i="24" l="1"/>
  <c r="K33" i="25"/>
  <c r="N34" i="2"/>
  <c r="K33" i="8"/>
  <c r="K33" i="17"/>
  <c r="N34" i="16"/>
  <c r="K34" i="25" l="1"/>
  <c r="N35" i="24"/>
  <c r="K34" i="17"/>
  <c r="N35" i="16"/>
  <c r="N35" i="2"/>
  <c r="K34" i="8"/>
  <c r="N36" i="24" l="1"/>
  <c r="K35" i="25"/>
  <c r="K35" i="8"/>
  <c r="N36" i="2"/>
  <c r="K35" i="17"/>
  <c r="N36" i="16"/>
  <c r="N37" i="24" l="1"/>
  <c r="K36" i="25"/>
  <c r="K36" i="17"/>
  <c r="N37" i="16"/>
  <c r="K36" i="8"/>
  <c r="N37" i="2"/>
  <c r="K37" i="25" l="1"/>
  <c r="N38" i="24"/>
  <c r="K37" i="8"/>
  <c r="N38" i="2"/>
  <c r="N38" i="16"/>
  <c r="K37" i="17"/>
  <c r="K38" i="25" l="1"/>
  <c r="N39" i="24"/>
  <c r="N39" i="16"/>
  <c r="K38" i="17"/>
  <c r="N39" i="2"/>
  <c r="K38" i="8"/>
  <c r="K39" i="25" l="1"/>
  <c r="N40" i="24"/>
  <c r="K39" i="8"/>
  <c r="N40" i="2"/>
  <c r="K39" i="17"/>
  <c r="N40" i="16"/>
  <c r="N41" i="24" l="1"/>
  <c r="K40" i="25"/>
  <c r="K40" i="17"/>
  <c r="N41" i="16"/>
  <c r="N41" i="2"/>
  <c r="K40" i="8"/>
  <c r="K41" i="25" l="1"/>
  <c r="N42" i="24"/>
  <c r="K41" i="8"/>
  <c r="N42" i="2"/>
  <c r="N42" i="16"/>
  <c r="K41" i="17"/>
  <c r="N43" i="24" l="1"/>
  <c r="K42" i="25"/>
  <c r="K42" i="17"/>
  <c r="N43" i="16"/>
  <c r="K42" i="8"/>
  <c r="N43" i="2"/>
  <c r="N44" i="24" l="1"/>
  <c r="K43" i="25"/>
  <c r="K43" i="8"/>
  <c r="N44" i="2"/>
  <c r="N44" i="16"/>
  <c r="K43" i="17"/>
  <c r="N45" i="24" l="1"/>
  <c r="K44" i="25"/>
  <c r="N45" i="16"/>
  <c r="K44" i="17"/>
  <c r="K44" i="8"/>
  <c r="N45" i="2"/>
  <c r="K45" i="25" l="1"/>
  <c r="N46" i="24"/>
  <c r="K45" i="8"/>
  <c r="N46" i="2"/>
  <c r="N46" i="16"/>
  <c r="K45" i="17"/>
  <c r="K46" i="25" l="1"/>
  <c r="N47" i="24"/>
  <c r="N47" i="16"/>
  <c r="K46" i="17"/>
  <c r="K46" i="8"/>
  <c r="N47" i="2"/>
  <c r="N48" i="24" l="1"/>
  <c r="K47" i="25"/>
  <c r="K47" i="8"/>
  <c r="N48" i="2"/>
  <c r="N48" i="16"/>
  <c r="K47" i="17"/>
  <c r="N49" i="24" l="1"/>
  <c r="K48" i="25"/>
  <c r="N49" i="16"/>
  <c r="K48" i="17"/>
  <c r="N49" i="2"/>
  <c r="K48" i="8"/>
  <c r="K49" i="25" l="1"/>
  <c r="N50" i="24"/>
  <c r="N50" i="2"/>
  <c r="K49" i="8"/>
  <c r="N50" i="16"/>
  <c r="K49" i="17"/>
  <c r="N51" i="24" l="1"/>
  <c r="K50" i="25"/>
  <c r="N51" i="16"/>
  <c r="K50" i="17"/>
  <c r="K50" i="8"/>
  <c r="N51" i="2"/>
  <c r="N52" i="24" l="1"/>
  <c r="K51" i="25"/>
  <c r="K51" i="8"/>
  <c r="N52" i="2"/>
  <c r="K51" i="17"/>
  <c r="N52" i="16"/>
  <c r="K52" i="25" l="1"/>
  <c r="N53" i="24"/>
  <c r="N53" i="16"/>
  <c r="K52" i="17"/>
  <c r="N53" i="2"/>
  <c r="K52" i="8"/>
  <c r="N54" i="24" l="1"/>
  <c r="K53" i="25"/>
  <c r="K53" i="8"/>
  <c r="N54" i="2"/>
  <c r="N54" i="16"/>
  <c r="K53" i="17"/>
  <c r="N55" i="24" l="1"/>
  <c r="K54" i="25"/>
  <c r="N55" i="16"/>
  <c r="K54" i="17"/>
  <c r="K54" i="8"/>
  <c r="N55" i="2"/>
  <c r="N56" i="24" l="1"/>
  <c r="K55" i="25"/>
  <c r="K55" i="8"/>
  <c r="N56" i="2"/>
  <c r="K55" i="17"/>
  <c r="N56" i="16"/>
  <c r="K56" i="25" l="1"/>
  <c r="N57" i="24"/>
  <c r="K56" i="17"/>
  <c r="N57" i="16"/>
  <c r="N57" i="2"/>
  <c r="K56" i="8"/>
  <c r="K57" i="25" l="1"/>
  <c r="N58" i="24"/>
  <c r="K57" i="8"/>
  <c r="N58" i="2"/>
  <c r="N58" i="16"/>
  <c r="K57" i="17"/>
  <c r="N59" i="24" l="1"/>
  <c r="K58" i="25"/>
  <c r="N59" i="16"/>
  <c r="K58" i="17"/>
  <c r="K58" i="8"/>
  <c r="N59" i="2"/>
  <c r="K59" i="25" l="1"/>
  <c r="N60" i="24"/>
  <c r="K59" i="8"/>
  <c r="N60" i="2"/>
  <c r="K59" i="17"/>
  <c r="N60" i="16"/>
  <c r="N61" i="24" l="1"/>
  <c r="K60" i="25"/>
  <c r="K60" i="8"/>
  <c r="N61" i="2"/>
  <c r="K60" i="17"/>
  <c r="N61" i="16"/>
  <c r="N62" i="24" l="1"/>
  <c r="K61" i="25"/>
  <c r="N62" i="16"/>
  <c r="K61" i="17"/>
  <c r="N62" i="2"/>
  <c r="K61" i="8"/>
  <c r="K62" i="25" l="1"/>
  <c r="N63" i="24"/>
  <c r="K62" i="8"/>
  <c r="N63" i="2"/>
  <c r="N63" i="16"/>
  <c r="K62" i="17"/>
  <c r="N64" i="24" l="1"/>
  <c r="K63" i="25"/>
  <c r="K63" i="8"/>
  <c r="N64" i="2"/>
  <c r="N64" i="16"/>
  <c r="K63" i="17"/>
  <c r="N65" i="24" l="1"/>
  <c r="K64" i="25"/>
  <c r="K64" i="17"/>
  <c r="N65" i="16"/>
  <c r="N65" i="2"/>
  <c r="K64" i="8"/>
  <c r="K65" i="25" l="1"/>
  <c r="N66" i="24"/>
  <c r="N66" i="16"/>
  <c r="K65" i="17"/>
  <c r="N66" i="2"/>
  <c r="K65" i="8"/>
  <c r="N67" i="24" l="1"/>
  <c r="K66" i="25"/>
  <c r="N67" i="2"/>
  <c r="K66" i="8"/>
  <c r="K66" i="17"/>
  <c r="N67" i="16"/>
  <c r="K67" i="25" l="1"/>
  <c r="N68" i="24"/>
  <c r="K67" i="17"/>
  <c r="N68" i="16"/>
  <c r="N68" i="2"/>
  <c r="K67" i="8"/>
  <c r="K68" i="25" l="1"/>
  <c r="N69" i="24"/>
  <c r="K68" i="17"/>
  <c r="N69" i="16"/>
  <c r="K68" i="8"/>
  <c r="N69" i="2"/>
  <c r="N70" i="24" l="1"/>
  <c r="K69" i="25"/>
  <c r="K69" i="17"/>
  <c r="N70" i="16"/>
  <c r="N70" i="2"/>
  <c r="K69" i="8"/>
  <c r="N71" i="24" l="1"/>
  <c r="K70" i="25"/>
  <c r="N71" i="16"/>
  <c r="K70" i="17"/>
  <c r="K70" i="8"/>
  <c r="N71" i="2"/>
  <c r="N72" i="24" l="1"/>
  <c r="K71" i="25"/>
  <c r="N72" i="2"/>
  <c r="K71" i="8"/>
  <c r="N72" i="16"/>
  <c r="K71" i="17"/>
  <c r="N73" i="24" l="1"/>
  <c r="K72" i="25"/>
  <c r="N73" i="16"/>
  <c r="K72" i="17"/>
  <c r="N73" i="2"/>
  <c r="K72" i="8"/>
  <c r="N74" i="24" l="1"/>
  <c r="K73" i="25"/>
  <c r="N74" i="2"/>
  <c r="K73" i="8"/>
  <c r="K73" i="17"/>
  <c r="N74" i="16"/>
  <c r="K74" i="25" l="1"/>
  <c r="N75" i="24"/>
  <c r="N75" i="16"/>
  <c r="K74" i="17"/>
  <c r="N75" i="2"/>
  <c r="K74" i="8"/>
  <c r="K75" i="25" l="1"/>
  <c r="N76" i="24"/>
  <c r="N76" i="2"/>
  <c r="K75" i="8"/>
  <c r="K75" i="17"/>
  <c r="N76" i="16"/>
  <c r="N77" i="24" l="1"/>
  <c r="K76" i="25"/>
  <c r="N77" i="16"/>
  <c r="K76" i="17"/>
  <c r="N77" i="2"/>
  <c r="K76" i="8"/>
  <c r="K77" i="25" l="1"/>
  <c r="N78" i="24"/>
  <c r="K77" i="8"/>
  <c r="N78" i="2"/>
  <c r="K77" i="17"/>
  <c r="N78" i="16"/>
  <c r="N79" i="24" l="1"/>
  <c r="K78" i="25"/>
  <c r="K78" i="17"/>
  <c r="N79" i="16"/>
  <c r="N79" i="2"/>
  <c r="K78" i="8"/>
  <c r="K79" i="25" l="1"/>
  <c r="N80" i="24"/>
  <c r="N80" i="2"/>
  <c r="K79" i="8"/>
  <c r="N80" i="16"/>
  <c r="K79" i="17"/>
  <c r="N81" i="24" l="1"/>
  <c r="K80" i="25"/>
  <c r="K80" i="17"/>
  <c r="N81" i="16"/>
  <c r="K80" i="8"/>
  <c r="N81" i="2"/>
  <c r="N82" i="24" l="1"/>
  <c r="K81" i="25"/>
  <c r="K81" i="8"/>
  <c r="N82" i="2"/>
  <c r="K81" i="17"/>
  <c r="N82" i="16"/>
  <c r="N83" i="24" l="1"/>
  <c r="K82" i="25"/>
  <c r="N83" i="16"/>
  <c r="K82" i="17"/>
  <c r="K82" i="8"/>
  <c r="N83" i="2"/>
  <c r="K83" i="25" l="1"/>
  <c r="N84" i="24"/>
  <c r="N84" i="2"/>
  <c r="K83" i="8"/>
  <c r="N84" i="16"/>
  <c r="K83" i="17"/>
  <c r="N85" i="24" l="1"/>
  <c r="K84" i="25"/>
  <c r="N85" i="16"/>
  <c r="K84" i="17"/>
  <c r="N85" i="2"/>
  <c r="K84" i="8"/>
  <c r="N86" i="24" l="1"/>
  <c r="K85" i="25"/>
  <c r="N86" i="2"/>
  <c r="K85" i="8"/>
  <c r="N86" i="16"/>
  <c r="K85" i="17"/>
  <c r="K86" i="25" l="1"/>
  <c r="N87" i="24"/>
  <c r="N87" i="16"/>
  <c r="K86" i="17"/>
  <c r="N87" i="2"/>
  <c r="K86" i="8"/>
  <c r="N88" i="24" l="1"/>
  <c r="K87" i="25"/>
  <c r="K87" i="8"/>
  <c r="N88" i="2"/>
  <c r="K87" i="17"/>
  <c r="N88" i="16"/>
  <c r="N89" i="24" l="1"/>
  <c r="K88" i="25"/>
  <c r="N89" i="16"/>
  <c r="K88" i="17"/>
  <c r="N89" i="2"/>
  <c r="K88" i="8"/>
  <c r="N90" i="24" l="1"/>
  <c r="K89" i="25"/>
  <c r="N90" i="2"/>
  <c r="K89" i="8"/>
  <c r="N90" i="16"/>
  <c r="K89" i="17"/>
  <c r="K90" i="25" l="1"/>
  <c r="N91" i="24"/>
  <c r="N91" i="16"/>
  <c r="K90" i="17"/>
  <c r="K90" i="8"/>
  <c r="N91" i="2"/>
  <c r="K91" i="25" l="1"/>
  <c r="N92" i="24"/>
  <c r="N92" i="2"/>
  <c r="K91" i="8"/>
  <c r="N92" i="16"/>
  <c r="K91" i="17"/>
  <c r="N93" i="24" l="1"/>
  <c r="K92" i="25"/>
  <c r="K92" i="17"/>
  <c r="N93" i="16"/>
  <c r="N93" i="2"/>
  <c r="K92" i="8"/>
  <c r="K93" i="25" l="1"/>
  <c r="N94" i="24"/>
  <c r="N94" i="16"/>
  <c r="K93" i="17"/>
  <c r="N94" i="2"/>
  <c r="K93" i="8"/>
  <c r="N95" i="24" l="1"/>
  <c r="K94" i="25"/>
  <c r="N95" i="2"/>
  <c r="K94" i="8"/>
  <c r="K94" i="17"/>
  <c r="N95" i="16"/>
  <c r="N96" i="24" l="1"/>
  <c r="K95" i="25"/>
  <c r="N96" i="16"/>
  <c r="K95" i="17"/>
  <c r="K95" i="8"/>
  <c r="N96" i="2"/>
  <c r="N97" i="24" l="1"/>
  <c r="K96" i="25"/>
  <c r="N97" i="2"/>
  <c r="K96" i="8"/>
  <c r="K96" i="17"/>
  <c r="N97" i="16"/>
  <c r="N98" i="24" l="1"/>
  <c r="K97" i="25"/>
  <c r="K97" i="17"/>
  <c r="N98" i="16"/>
  <c r="N98" i="2"/>
  <c r="K97" i="8"/>
  <c r="N99" i="24" l="1"/>
  <c r="K98" i="25"/>
  <c r="K98" i="8"/>
  <c r="N99" i="2"/>
  <c r="K98" i="17"/>
  <c r="N99" i="16"/>
  <c r="K99" i="25" l="1"/>
  <c r="N100" i="24"/>
  <c r="K99" i="8"/>
  <c r="N100" i="2"/>
  <c r="N100" i="16"/>
  <c r="K99" i="17"/>
  <c r="K100" i="25" l="1"/>
  <c r="N101" i="24"/>
  <c r="N101" i="16"/>
  <c r="K100" i="17"/>
  <c r="K100" i="8"/>
  <c r="N101" i="2"/>
  <c r="N102" i="24" l="1"/>
  <c r="K101" i="25"/>
  <c r="K101" i="8"/>
  <c r="N102" i="2"/>
  <c r="K101" i="17"/>
  <c r="N102" i="16"/>
  <c r="N103" i="24" l="1"/>
  <c r="K102" i="25"/>
  <c r="K102" i="17"/>
  <c r="N103" i="16"/>
  <c r="K102" i="8"/>
  <c r="N103" i="2"/>
  <c r="N104" i="24" l="1"/>
  <c r="K103" i="25"/>
  <c r="K103" i="8"/>
  <c r="N104" i="2"/>
  <c r="N104" i="16"/>
  <c r="K103" i="17"/>
  <c r="K104" i="25" l="1"/>
  <c r="N105" i="24"/>
  <c r="N105" i="16"/>
  <c r="K104" i="17"/>
  <c r="K104" i="8"/>
  <c r="N105" i="2"/>
  <c r="K105" i="25" l="1"/>
  <c r="N106" i="24"/>
  <c r="N106" i="2"/>
  <c r="K105" i="8"/>
  <c r="N106" i="16"/>
  <c r="K105" i="17"/>
  <c r="N107" i="24" l="1"/>
  <c r="K106" i="25"/>
  <c r="K106" i="17"/>
  <c r="N107" i="16"/>
  <c r="N107" i="2"/>
  <c r="K106" i="8"/>
  <c r="K107" i="25" l="1"/>
  <c r="N108" i="24"/>
  <c r="N108" i="16"/>
  <c r="K107" i="17"/>
  <c r="K107" i="8"/>
  <c r="N108" i="2"/>
  <c r="K108" i="25" l="1"/>
  <c r="N109" i="24"/>
  <c r="N109" i="2"/>
  <c r="K108" i="8"/>
  <c r="N109" i="16"/>
  <c r="K108" i="17"/>
  <c r="K109" i="25" l="1"/>
  <c r="N110" i="24"/>
  <c r="N110" i="16"/>
  <c r="K109" i="17"/>
  <c r="N110" i="2"/>
  <c r="K109" i="8"/>
  <c r="N111" i="24" l="1"/>
  <c r="K110" i="25"/>
  <c r="K110" i="8"/>
  <c r="N111" i="2"/>
  <c r="N111" i="16"/>
  <c r="K110" i="17"/>
  <c r="K111" i="25" l="1"/>
  <c r="N112" i="24"/>
  <c r="N112" i="2"/>
  <c r="K111" i="8"/>
  <c r="N112" i="16"/>
  <c r="K111" i="17"/>
  <c r="K112" i="25" l="1"/>
  <c r="N113" i="24"/>
  <c r="N113" i="16"/>
  <c r="K112" i="17"/>
  <c r="K112" i="8"/>
  <c r="N113" i="2"/>
  <c r="N114" i="24" l="1"/>
  <c r="K113" i="25"/>
  <c r="K113" i="8"/>
  <c r="N114" i="2"/>
  <c r="K113" i="17"/>
  <c r="N114" i="16"/>
  <c r="K114" i="25" l="1"/>
  <c r="N115" i="24"/>
  <c r="K114" i="8"/>
  <c r="N115" i="2"/>
  <c r="N115" i="16"/>
  <c r="K114" i="17"/>
  <c r="K115" i="25" l="1"/>
  <c r="N116" i="24"/>
  <c r="K115" i="17"/>
  <c r="N116" i="16"/>
  <c r="N116" i="2"/>
  <c r="K115" i="8"/>
  <c r="K116" i="25" l="1"/>
  <c r="N117" i="24"/>
  <c r="N117" i="2"/>
  <c r="K116" i="8"/>
  <c r="N117" i="16"/>
  <c r="K116" i="17"/>
  <c r="K117" i="25" l="1"/>
  <c r="N118" i="24"/>
  <c r="K117" i="17"/>
  <c r="N118" i="16"/>
  <c r="K117" i="8"/>
  <c r="N118" i="2"/>
  <c r="N119" i="24" l="1"/>
  <c r="K118" i="25"/>
  <c r="K118" i="8"/>
  <c r="N119" i="2"/>
  <c r="N119" i="16"/>
  <c r="K118" i="17"/>
  <c r="K119" i="25" l="1"/>
  <c r="N120" i="24"/>
  <c r="N120" i="2"/>
  <c r="K119" i="8"/>
  <c r="K119" i="17"/>
  <c r="N120" i="16"/>
  <c r="N121" i="24" l="1"/>
  <c r="K120" i="25"/>
  <c r="N121" i="16"/>
  <c r="K120" i="17"/>
  <c r="K120" i="8"/>
  <c r="N121" i="2"/>
  <c r="N122" i="24" l="1"/>
  <c r="K121" i="25"/>
  <c r="K121" i="8"/>
  <c r="N122" i="2"/>
  <c r="K121" i="17"/>
  <c r="N122" i="16"/>
  <c r="N123" i="24" l="1"/>
  <c r="K122" i="25"/>
  <c r="N123" i="2"/>
  <c r="K122" i="8"/>
  <c r="N123" i="16"/>
  <c r="K122" i="17"/>
  <c r="N124" i="24" l="1"/>
  <c r="K123" i="25"/>
  <c r="N124" i="16"/>
  <c r="K123" i="17"/>
  <c r="N124" i="2"/>
  <c r="K123" i="8"/>
  <c r="C7" i="22"/>
  <c r="C5" i="22" s="1"/>
  <c r="C44" i="26" s="1"/>
  <c r="D6" i="22"/>
  <c r="N125" i="24" l="1"/>
  <c r="K124" i="25"/>
  <c r="N125" i="2"/>
  <c r="K124" i="8"/>
  <c r="K124" i="17"/>
  <c r="N125" i="16"/>
  <c r="N126" i="24" l="1"/>
  <c r="K125" i="25"/>
  <c r="K125" i="17"/>
  <c r="N126" i="16"/>
  <c r="K125" i="8"/>
  <c r="N126" i="2"/>
  <c r="K126" i="25" l="1"/>
  <c r="N127" i="24"/>
  <c r="N127" i="2"/>
  <c r="K126" i="8"/>
  <c r="N127" i="16"/>
  <c r="K126" i="17"/>
  <c r="N128" i="24" l="1"/>
  <c r="K127" i="25"/>
  <c r="N128" i="16"/>
  <c r="K127" i="17"/>
  <c r="N128" i="2"/>
  <c r="K127" i="8"/>
  <c r="K128" i="25" l="1"/>
  <c r="N129" i="24"/>
  <c r="K128" i="8"/>
  <c r="N129" i="2"/>
  <c r="K128" i="17"/>
  <c r="N129" i="16"/>
  <c r="N130" i="24" l="1"/>
  <c r="K129" i="25"/>
  <c r="K129" i="8"/>
  <c r="N130" i="2"/>
  <c r="K129" i="17"/>
  <c r="N130" i="16"/>
  <c r="K130" i="25" l="1"/>
  <c r="N131" i="24"/>
  <c r="N131" i="2"/>
  <c r="K130" i="8"/>
  <c r="K130" i="17"/>
  <c r="N131" i="16"/>
  <c r="K131" i="25" l="1"/>
  <c r="N132" i="24"/>
  <c r="K131" i="17"/>
  <c r="N132" i="16"/>
  <c r="N132" i="2"/>
  <c r="K131" i="8"/>
  <c r="K132" i="25" l="1"/>
  <c r="N133" i="24"/>
  <c r="K132" i="17"/>
  <c r="N133" i="16"/>
  <c r="K132" i="8"/>
  <c r="N133" i="2"/>
  <c r="K133" i="25" l="1"/>
  <c r="N134" i="24"/>
  <c r="K133" i="8"/>
  <c r="N134" i="2"/>
  <c r="N134" i="16"/>
  <c r="K133" i="17"/>
  <c r="N135" i="24" l="1"/>
  <c r="K134" i="25"/>
  <c r="N135" i="16"/>
  <c r="K134" i="17"/>
  <c r="N135" i="2"/>
  <c r="K134" i="8"/>
  <c r="K135" i="25" l="1"/>
  <c r="N136" i="24"/>
  <c r="K135" i="8"/>
  <c r="N136" i="2"/>
  <c r="K135" i="17"/>
  <c r="N136" i="16"/>
  <c r="N137" i="24" l="1"/>
  <c r="K136" i="25"/>
  <c r="K136" i="17"/>
  <c r="N137" i="16"/>
  <c r="N137" i="2"/>
  <c r="K136" i="8"/>
  <c r="K137" i="25" l="1"/>
  <c r="N138" i="24"/>
  <c r="K137" i="8"/>
  <c r="N138" i="2"/>
  <c r="N138" i="16"/>
  <c r="K137" i="17"/>
  <c r="N139" i="24" l="1"/>
  <c r="K138" i="25"/>
  <c r="N139" i="16"/>
  <c r="K138" i="17"/>
  <c r="N139" i="2"/>
  <c r="K138" i="8"/>
  <c r="K139" i="25" l="1"/>
  <c r="N140" i="24"/>
  <c r="N140" i="2"/>
  <c r="K139" i="8"/>
  <c r="N140" i="16"/>
  <c r="K139" i="17"/>
  <c r="K140" i="25" l="1"/>
  <c r="N141" i="24"/>
  <c r="N141" i="16"/>
  <c r="K140" i="17"/>
  <c r="K140" i="8"/>
  <c r="N141" i="2"/>
  <c r="N142" i="24" l="1"/>
  <c r="K141" i="25"/>
  <c r="K141" i="8"/>
  <c r="N142" i="2"/>
  <c r="N142" i="16"/>
  <c r="K141" i="17"/>
  <c r="N143" i="24" l="1"/>
  <c r="K142" i="25"/>
  <c r="N143" i="16"/>
  <c r="K142" i="17"/>
  <c r="K142" i="8"/>
  <c r="N143" i="2"/>
  <c r="N144" i="24" l="1"/>
  <c r="K143" i="25"/>
  <c r="N144" i="2"/>
  <c r="K143" i="8"/>
  <c r="N144" i="16"/>
  <c r="K143" i="17"/>
  <c r="N145" i="24" l="1"/>
  <c r="K144" i="25"/>
  <c r="K144" i="17"/>
  <c r="N145" i="16"/>
  <c r="N145" i="2"/>
  <c r="K144" i="8"/>
  <c r="K145" i="25" l="1"/>
  <c r="N146" i="24"/>
  <c r="K145" i="8"/>
  <c r="N146" i="2"/>
  <c r="K145" i="17"/>
  <c r="N146" i="16"/>
  <c r="N147" i="24" l="1"/>
  <c r="K146" i="25"/>
  <c r="N147" i="16"/>
  <c r="K146" i="17"/>
  <c r="N147" i="2"/>
  <c r="K146" i="8"/>
  <c r="K147" i="25" l="1"/>
  <c r="N148" i="24"/>
  <c r="N148" i="2"/>
  <c r="K147" i="8"/>
  <c r="K147" i="17"/>
  <c r="N148" i="16"/>
  <c r="N149" i="24" l="1"/>
  <c r="K148" i="25"/>
  <c r="N149" i="16"/>
  <c r="K148" i="17"/>
  <c r="N149" i="2"/>
  <c r="K148" i="8"/>
  <c r="K149" i="25" l="1"/>
  <c r="N150" i="24"/>
  <c r="N150" i="2"/>
  <c r="K149" i="8"/>
  <c r="N150" i="16"/>
  <c r="K149" i="17"/>
  <c r="K150" i="25" l="1"/>
  <c r="N151" i="24"/>
  <c r="K150" i="17"/>
  <c r="N151" i="16"/>
  <c r="K150" i="8"/>
  <c r="N151" i="2"/>
  <c r="N152" i="24" l="1"/>
  <c r="K151" i="25"/>
  <c r="K151" i="8"/>
  <c r="N152" i="2"/>
  <c r="N152" i="16"/>
  <c r="K151" i="17"/>
  <c r="N153" i="24" l="1"/>
  <c r="K152" i="25"/>
  <c r="N153" i="16"/>
  <c r="K152" i="17"/>
  <c r="K152" i="8"/>
  <c r="N153" i="2"/>
  <c r="K153" i="25" l="1"/>
  <c r="N154" i="24"/>
  <c r="K153" i="8"/>
  <c r="N154" i="2"/>
  <c r="K153" i="17"/>
  <c r="N154" i="16"/>
  <c r="K154" i="25" l="1"/>
  <c r="N155" i="24"/>
  <c r="K154" i="17"/>
  <c r="N155" i="16"/>
  <c r="N155" i="2"/>
  <c r="K154" i="8"/>
  <c r="N156" i="24" l="1"/>
  <c r="K155" i="25"/>
  <c r="K155" i="8"/>
  <c r="N156" i="2"/>
  <c r="N156" i="16"/>
  <c r="K155" i="17"/>
  <c r="K156" i="25" l="1"/>
  <c r="N157" i="24"/>
  <c r="K156" i="17"/>
  <c r="N157" i="16"/>
  <c r="N157" i="2"/>
  <c r="K156" i="8"/>
  <c r="N158" i="24" l="1"/>
  <c r="K157" i="25"/>
  <c r="N158" i="2"/>
  <c r="K157" i="8"/>
  <c r="N158" i="16"/>
  <c r="K157" i="17"/>
  <c r="N159" i="24" l="1"/>
  <c r="K158" i="25"/>
  <c r="N159" i="16"/>
  <c r="K158" i="17"/>
  <c r="K158" i="8"/>
  <c r="N159" i="2"/>
  <c r="K159" i="25" l="1"/>
  <c r="N160" i="24"/>
  <c r="K159" i="8"/>
  <c r="N160" i="2"/>
  <c r="N160" i="16"/>
  <c r="K159" i="17"/>
  <c r="J49" i="34"/>
  <c r="J54" i="34" l="1"/>
  <c r="H49" i="34"/>
  <c r="H54" i="34" s="1"/>
  <c r="J55" i="34"/>
  <c r="N161" i="24"/>
  <c r="K160" i="25"/>
  <c r="K160" i="17"/>
  <c r="N161" i="16"/>
  <c r="K160" i="8"/>
  <c r="N161" i="2"/>
  <c r="H55" i="34"/>
  <c r="N162" i="24" l="1"/>
  <c r="K161" i="25"/>
  <c r="K161" i="8"/>
  <c r="N162" i="2"/>
  <c r="K161" i="17"/>
  <c r="N162" i="16"/>
  <c r="N163" i="24" l="1"/>
  <c r="K162" i="25"/>
  <c r="N163" i="2"/>
  <c r="K162" i="8"/>
  <c r="K162" i="17"/>
  <c r="N163" i="16"/>
  <c r="N164" i="24" l="1"/>
  <c r="K163" i="25"/>
  <c r="N164" i="16"/>
  <c r="K163" i="17"/>
  <c r="N164" i="2"/>
  <c r="K163" i="8"/>
  <c r="K164" i="25" l="1"/>
  <c r="N165" i="24"/>
  <c r="N165" i="2"/>
  <c r="K164" i="8"/>
  <c r="K164" i="17"/>
  <c r="N165" i="16"/>
  <c r="N166" i="24" l="1"/>
  <c r="K165" i="25"/>
  <c r="N166" i="16"/>
  <c r="K165" i="17"/>
  <c r="N166" i="2"/>
  <c r="K165" i="8"/>
  <c r="K166" i="25" l="1"/>
  <c r="N167" i="24"/>
  <c r="K166" i="8"/>
  <c r="N167" i="2"/>
  <c r="K166" i="17"/>
  <c r="N167" i="16"/>
  <c r="N168" i="24" l="1"/>
  <c r="K167" i="25"/>
  <c r="K167" i="17"/>
  <c r="N168" i="16"/>
  <c r="N168" i="2"/>
  <c r="K167" i="8"/>
  <c r="N169" i="24" l="1"/>
  <c r="K168" i="25"/>
  <c r="K168" i="8"/>
  <c r="N169" i="2"/>
  <c r="N169" i="16"/>
  <c r="K168" i="17"/>
  <c r="N170" i="24" l="1"/>
  <c r="K169" i="25"/>
  <c r="N170" i="2"/>
  <c r="K169" i="8"/>
  <c r="N170" i="16"/>
  <c r="K169" i="17"/>
  <c r="N171" i="24" l="1"/>
  <c r="K170" i="25"/>
  <c r="K170" i="17"/>
  <c r="N171" i="16"/>
  <c r="N171" i="2"/>
  <c r="K170" i="8"/>
  <c r="K171" i="25" l="1"/>
  <c r="N172" i="24"/>
  <c r="N172" i="16"/>
  <c r="K171" i="17"/>
  <c r="N172" i="2"/>
  <c r="K171" i="8"/>
  <c r="K172" i="25" l="1"/>
  <c r="N173" i="24"/>
  <c r="N173" i="2"/>
  <c r="K172" i="8"/>
  <c r="N173" i="16"/>
  <c r="K172" i="17"/>
  <c r="K173" i="25" l="1"/>
  <c r="N174" i="24"/>
  <c r="N174" i="16"/>
  <c r="K173" i="17"/>
  <c r="N174" i="2"/>
  <c r="K173" i="8"/>
  <c r="K174" i="25" l="1"/>
  <c r="N175" i="24"/>
  <c r="N175" i="2"/>
  <c r="K174" i="8"/>
  <c r="N175" i="16"/>
  <c r="K174" i="17"/>
  <c r="K175" i="25" l="1"/>
  <c r="N176" i="24"/>
  <c r="N176" i="16"/>
  <c r="K175" i="17"/>
  <c r="N176" i="2"/>
  <c r="K175" i="8"/>
  <c r="K176" i="25" l="1"/>
  <c r="N177" i="24"/>
  <c r="K176" i="8"/>
  <c r="N177" i="2"/>
  <c r="N177" i="16"/>
  <c r="K176" i="17"/>
  <c r="K177" i="25" l="1"/>
  <c r="N178" i="24"/>
  <c r="N178" i="16"/>
  <c r="K177" i="17"/>
  <c r="K177" i="8"/>
  <c r="N178" i="2"/>
  <c r="K178" i="25" l="1"/>
  <c r="N179" i="24"/>
  <c r="K178" i="8"/>
  <c r="N179" i="2"/>
  <c r="N179" i="16"/>
  <c r="K178" i="17"/>
  <c r="K179" i="25" l="1"/>
  <c r="N180" i="24"/>
  <c r="N180" i="2"/>
  <c r="K179" i="8"/>
  <c r="N180" i="16"/>
  <c r="K179" i="17"/>
  <c r="N181" i="24" l="1"/>
  <c r="K180" i="25"/>
  <c r="N181" i="16"/>
  <c r="K180" i="17"/>
  <c r="N181" i="2"/>
  <c r="K180" i="8"/>
  <c r="C16" i="4"/>
  <c r="C15" i="4" s="1"/>
  <c r="C35" i="26" s="1"/>
  <c r="I6" i="7" s="1"/>
  <c r="C9" i="22"/>
  <c r="C8" i="22" s="1"/>
  <c r="I8" i="7" s="1"/>
  <c r="C9" i="14"/>
  <c r="C8" i="14" s="1"/>
  <c r="E6" i="14" l="1"/>
  <c r="D7" i="14"/>
  <c r="K181" i="25"/>
  <c r="N182" i="24"/>
  <c r="G6" i="22"/>
  <c r="F6" i="22"/>
  <c r="F7" i="22"/>
  <c r="N182" i="2"/>
  <c r="K181" i="8"/>
  <c r="K181" i="17"/>
  <c r="N182" i="16"/>
  <c r="B32" i="7"/>
  <c r="I7" i="7"/>
  <c r="J7" i="7" s="1"/>
  <c r="J8" i="7"/>
  <c r="K182" i="8" l="1"/>
  <c r="N183" i="2"/>
  <c r="K182" i="17"/>
  <c r="I6" i="14" s="1"/>
  <c r="N183" i="16"/>
  <c r="K182" i="25"/>
  <c r="N183" i="24"/>
  <c r="J6" i="22"/>
  <c r="I7" i="22"/>
  <c r="H6" i="22"/>
  <c r="G7" i="22"/>
  <c r="G5" i="22" s="1"/>
  <c r="G44" i="26" s="1"/>
  <c r="I14" i="4"/>
  <c r="F13" i="4"/>
  <c r="J13" i="4"/>
  <c r="I13" i="4"/>
  <c r="J14" i="4"/>
  <c r="J7" i="14"/>
  <c r="J6" i="14"/>
  <c r="F6" i="14"/>
  <c r="I7" i="14"/>
  <c r="I5" i="14" s="1"/>
  <c r="I39" i="26" s="1"/>
  <c r="H7" i="22"/>
  <c r="J7" i="22"/>
  <c r="I6" i="22"/>
  <c r="F5" i="22"/>
  <c r="F44" i="26" s="1"/>
  <c r="H6" i="14"/>
  <c r="G7" i="14"/>
  <c r="H7" i="14"/>
  <c r="F7" i="14"/>
  <c r="G6" i="14"/>
  <c r="G13" i="4"/>
  <c r="F14" i="4"/>
  <c r="H13" i="4"/>
  <c r="G14" i="4"/>
  <c r="H14" i="4"/>
  <c r="J40" i="26"/>
  <c r="D40" i="26"/>
  <c r="E40" i="26"/>
  <c r="F40" i="26"/>
  <c r="G40" i="26"/>
  <c r="H40" i="26"/>
  <c r="I40" i="26"/>
  <c r="J45" i="26"/>
  <c r="D45" i="26"/>
  <c r="E45" i="26"/>
  <c r="F45" i="26"/>
  <c r="G45" i="26"/>
  <c r="H45" i="26"/>
  <c r="I45" i="26"/>
  <c r="C45" i="26"/>
  <c r="C40" i="26"/>
  <c r="I5" i="22" l="1"/>
  <c r="I44" i="26" s="1"/>
  <c r="N184" i="16"/>
  <c r="K183" i="17"/>
  <c r="N184" i="24"/>
  <c r="K183" i="25"/>
  <c r="N184" i="2"/>
  <c r="K183" i="8"/>
  <c r="H5" i="22"/>
  <c r="H44" i="26" s="1"/>
  <c r="J5" i="22"/>
  <c r="J44" i="26" s="1"/>
  <c r="F5" i="14"/>
  <c r="F39" i="26" s="1"/>
  <c r="J5" i="14"/>
  <c r="J39" i="26" s="1"/>
  <c r="G5" i="14"/>
  <c r="G39" i="26" s="1"/>
  <c r="H5" i="14"/>
  <c r="H39" i="26" s="1"/>
  <c r="D32" i="7"/>
  <c r="C32" i="7"/>
  <c r="N185" i="24" l="1"/>
  <c r="K185" i="25" s="1"/>
  <c r="K184" i="25"/>
  <c r="K184" i="8"/>
  <c r="N185" i="2"/>
  <c r="K185" i="8" s="1"/>
  <c r="K184" i="17"/>
  <c r="N185" i="16"/>
  <c r="K185" i="17" s="1"/>
  <c r="F33" i="26"/>
  <c r="B9" i="7" l="1"/>
  <c r="I4" i="7" s="1"/>
  <c r="B7" i="7"/>
  <c r="B8" i="7" s="1"/>
  <c r="D6" i="14"/>
  <c r="D5" i="14" s="1"/>
  <c r="D39" i="26" s="1"/>
  <c r="C7" i="14"/>
  <c r="C5" i="14" s="1"/>
  <c r="C39" i="26" s="1"/>
  <c r="E7" i="14"/>
  <c r="E5" i="14" s="1"/>
  <c r="E39" i="26" s="1"/>
  <c r="B7" i="23"/>
  <c r="B8" i="23" s="1"/>
  <c r="B9" i="23"/>
  <c r="C14" i="4"/>
  <c r="C12" i="4" s="1"/>
  <c r="C34" i="26" s="1"/>
  <c r="D13" i="4"/>
  <c r="E13" i="4"/>
  <c r="D14" i="4"/>
  <c r="E14" i="4"/>
  <c r="B9" i="15"/>
  <c r="B7" i="15"/>
  <c r="B8" i="15" s="1"/>
  <c r="E7" i="22"/>
  <c r="D7" i="22"/>
  <c r="D5" i="22" s="1"/>
  <c r="D44" i="26" s="1"/>
  <c r="E6" i="22"/>
  <c r="D12" i="4" l="1"/>
  <c r="D34" i="26" s="1"/>
  <c r="E12" i="4"/>
  <c r="E34" i="26" s="1"/>
  <c r="N14" i="26"/>
  <c r="E14" i="26"/>
  <c r="C31" i="7"/>
  <c r="D14" i="26"/>
  <c r="M14" i="26"/>
  <c r="E5" i="22"/>
  <c r="E44" i="26" s="1"/>
  <c r="D31" i="7" s="1"/>
  <c r="I12" i="4"/>
  <c r="I34" i="26" s="1"/>
  <c r="G12" i="4"/>
  <c r="G34" i="26" s="1"/>
  <c r="H12" i="4"/>
  <c r="H34" i="26" s="1"/>
  <c r="J12" i="4"/>
  <c r="J34" i="26" s="1"/>
  <c r="F12" i="4"/>
  <c r="F34" i="26" s="1"/>
  <c r="O14" i="26" l="1"/>
  <c r="B31" i="7"/>
  <c r="B33" i="7" s="1"/>
  <c r="C15" i="26" s="1"/>
  <c r="D35" i="7"/>
  <c r="E17" i="26" s="1"/>
  <c r="D33" i="7"/>
  <c r="F14" i="26"/>
  <c r="C35" i="7"/>
  <c r="D17" i="26" s="1"/>
  <c r="C33" i="7"/>
  <c r="F17" i="26" l="1"/>
  <c r="B35" i="7"/>
  <c r="C17" i="26" s="1"/>
  <c r="C36" i="7"/>
  <c r="D18" i="26" s="1"/>
  <c r="D15" i="26"/>
  <c r="D36" i="7"/>
  <c r="E18" i="26" s="1"/>
  <c r="E15" i="26"/>
  <c r="B36" i="7"/>
  <c r="C18" i="26" s="1"/>
  <c r="E33" i="26"/>
  <c r="F15" i="26" l="1"/>
  <c r="F18" i="26"/>
  <c r="C28" i="26" l="1"/>
  <c r="C33" i="26" s="1"/>
  <c r="D28" i="26"/>
  <c r="D33" i="26" s="1"/>
</calcChain>
</file>

<file path=xl/sharedStrings.xml><?xml version="1.0" encoding="utf-8"?>
<sst xmlns="http://schemas.openxmlformats.org/spreadsheetml/2006/main" count="392" uniqueCount="145">
  <si>
    <t>Age</t>
  </si>
  <si>
    <t>Weight, kg</t>
  </si>
  <si>
    <t>ADG, kg</t>
  </si>
  <si>
    <t>ADFI, kg</t>
  </si>
  <si>
    <t>F:G</t>
  </si>
  <si>
    <t>Total FI</t>
  </si>
  <si>
    <t>Sire</t>
  </si>
  <si>
    <t>Energy</t>
  </si>
  <si>
    <t>High</t>
  </si>
  <si>
    <t>Low</t>
  </si>
  <si>
    <t>ADFI, kg/day</t>
  </si>
  <si>
    <t>Age/Gender</t>
  </si>
  <si>
    <t>Mixed</t>
  </si>
  <si>
    <t>Barrows</t>
  </si>
  <si>
    <t>Gilts</t>
  </si>
  <si>
    <t>B or G/Mixed</t>
  </si>
  <si>
    <t>57-58</t>
  </si>
  <si>
    <t>58-59</t>
  </si>
  <si>
    <t>59-60</t>
  </si>
  <si>
    <t>60-61</t>
  </si>
  <si>
    <t>Diff Initial BW Gilts/Barrows)</t>
  </si>
  <si>
    <t>Mod</t>
  </si>
  <si>
    <t>Mixed Gender</t>
  </si>
  <si>
    <t>Version</t>
  </si>
  <si>
    <t>Imperial</t>
  </si>
  <si>
    <t>Economic evaluation criteria</t>
  </si>
  <si>
    <t>Carcass</t>
  </si>
  <si>
    <t>Facility cost, $/day</t>
  </si>
  <si>
    <t>Performance and economics output - Fixed Time (space short)</t>
  </si>
  <si>
    <t>Avg Split Sex</t>
  </si>
  <si>
    <t>F/G</t>
  </si>
  <si>
    <t>Total Feed and Facility Cost, $/pig</t>
  </si>
  <si>
    <t>Total Revenue, $/pig</t>
  </si>
  <si>
    <t>IOFC, $/pig</t>
  </si>
  <si>
    <t>IOFFC, $/pig</t>
  </si>
  <si>
    <t>Mixed gender</t>
  </si>
  <si>
    <t>Metric</t>
  </si>
  <si>
    <t xml:space="preserve">   Diet cost, $/ton</t>
  </si>
  <si>
    <t xml:space="preserve">   Barrows</t>
  </si>
  <si>
    <t xml:space="preserve">   Gilts</t>
  </si>
  <si>
    <t xml:space="preserve">     Boars</t>
  </si>
  <si>
    <t xml:space="preserve">85% of PIC as min @beginning </t>
  </si>
  <si>
    <t>100% of PIC on average</t>
  </si>
  <si>
    <t xml:space="preserve"> </t>
  </si>
  <si>
    <t xml:space="preserve">   Days on feed</t>
  </si>
  <si>
    <t xml:space="preserve">   Weight In, lb</t>
  </si>
  <si>
    <t xml:space="preserve">   Weight Out, lb</t>
  </si>
  <si>
    <t xml:space="preserve">   Energy level, NRC ME kcal/lb</t>
  </si>
  <si>
    <t xml:space="preserve">   Feed Budget, lb/pig</t>
  </si>
  <si>
    <t xml:space="preserve">   Weight In, kg</t>
  </si>
  <si>
    <t xml:space="preserve">   Weight Out, kg</t>
  </si>
  <si>
    <t xml:space="preserve">   Energy level, NRC ME kcal/kg</t>
  </si>
  <si>
    <t xml:space="preserve">   Feed Budget, kg/pig</t>
  </si>
  <si>
    <t>ADG, lb/day</t>
  </si>
  <si>
    <t>ADG, g/day</t>
  </si>
  <si>
    <t>Age, d</t>
  </si>
  <si>
    <t>Week</t>
  </si>
  <si>
    <t>Incremental Feed Conversion</t>
  </si>
  <si>
    <t>Cumulative Feed Conversion</t>
  </si>
  <si>
    <t>DOF</t>
  </si>
  <si>
    <t>Total Feed per Week, kg</t>
  </si>
  <si>
    <t>Total Feed per Week, lb</t>
  </si>
  <si>
    <t>Weight, lb</t>
  </si>
  <si>
    <t>Incremental ADFI, lb</t>
  </si>
  <si>
    <t>Incremental ADG, lb</t>
  </si>
  <si>
    <t>Cumulative ADG, lb</t>
  </si>
  <si>
    <t>Cumulative Feed Intake, lb</t>
  </si>
  <si>
    <t>ADG, lb</t>
  </si>
  <si>
    <t>ADFI, lb</t>
  </si>
  <si>
    <t>ADFI</t>
  </si>
  <si>
    <t>Current ADG, g</t>
  </si>
  <si>
    <t>Current F:G</t>
  </si>
  <si>
    <t>Age at beginnig, days</t>
  </si>
  <si>
    <t>Energy level, NRC ME kcal/kg</t>
  </si>
  <si>
    <t>Weight In, kg</t>
  </si>
  <si>
    <t>Weight Out, kg</t>
  </si>
  <si>
    <t>Feed Budget, kg/pig</t>
  </si>
  <si>
    <t>Days on feed</t>
  </si>
  <si>
    <t>Weight In, lb</t>
  </si>
  <si>
    <t>Weight Out, lb</t>
  </si>
  <si>
    <t>SID Lys, grams:Mcal ME</t>
  </si>
  <si>
    <t xml:space="preserve">     Barrows</t>
  </si>
  <si>
    <t xml:space="preserve">     Gilts</t>
  </si>
  <si>
    <t xml:space="preserve">     Barrows and Gilts</t>
  </si>
  <si>
    <t>SID Lys, % of the diet</t>
  </si>
  <si>
    <t>a</t>
  </si>
  <si>
    <t>b</t>
  </si>
  <si>
    <t>c</t>
  </si>
  <si>
    <t>y</t>
  </si>
  <si>
    <t>SQR</t>
  </si>
  <si>
    <t>2a</t>
  </si>
  <si>
    <t>average</t>
  </si>
  <si>
    <t>=</t>
  </si>
  <si>
    <t>initial+final</t>
  </si>
  <si>
    <t>Age in</t>
  </si>
  <si>
    <t>Adj</t>
  </si>
  <si>
    <t>Adj Final BW</t>
  </si>
  <si>
    <t>kg</t>
  </si>
  <si>
    <t>Client</t>
  </si>
  <si>
    <t>%</t>
  </si>
  <si>
    <t>ADG</t>
  </si>
  <si>
    <t>G:F</t>
  </si>
  <si>
    <t>Feed per pig</t>
  </si>
  <si>
    <t>Age out</t>
  </si>
  <si>
    <t>Av. Weight per phase, kg</t>
  </si>
  <si>
    <t>Weighted energy level</t>
  </si>
  <si>
    <t>Kcal/kg</t>
  </si>
  <si>
    <t>Metabolizable Energy</t>
  </si>
  <si>
    <t>Net Energy</t>
  </si>
  <si>
    <t>Low energy diet</t>
  </si>
  <si>
    <t>Kcal/lb</t>
  </si>
  <si>
    <t>Moderate energy diet</t>
  </si>
  <si>
    <t>High energy diet</t>
  </si>
  <si>
    <t>Live</t>
  </si>
  <si>
    <t>Economic Criteria</t>
  </si>
  <si>
    <t>Final BW</t>
  </si>
  <si>
    <t>Carcass BW</t>
  </si>
  <si>
    <t>Total diet cost per pig, $</t>
  </si>
  <si>
    <t>Total Facility cost per Pig, $</t>
  </si>
  <si>
    <t>Total Feed and Facility Cost per Pig, $</t>
  </si>
  <si>
    <t>Total Revenue per Pig, $</t>
  </si>
  <si>
    <t>Barrows/mixed</t>
  </si>
  <si>
    <t>Adj BW in B/G</t>
  </si>
  <si>
    <t>Gilts/mixed</t>
  </si>
  <si>
    <t>Adj BW in G/B</t>
  </si>
  <si>
    <t xml:space="preserve">Client </t>
  </si>
  <si>
    <t>Body Weight, kg</t>
  </si>
  <si>
    <t>Est. ADG, g/d</t>
  </si>
  <si>
    <t>Est. G:F</t>
  </si>
  <si>
    <t>Est. F:G</t>
  </si>
  <si>
    <t>Est. ADFI</t>
  </si>
  <si>
    <t>Ac. Feed intake, kg</t>
  </si>
  <si>
    <t>Метрика</t>
  </si>
  <si>
    <t>Пожалуйста, заполните желтые ячейки</t>
  </si>
  <si>
    <t>Смешанный пол</t>
  </si>
  <si>
    <t>Стартовый возраст, дн</t>
  </si>
  <si>
    <t>ССП г/дн</t>
  </si>
  <si>
    <t>Конверсия</t>
  </si>
  <si>
    <t>ОЭ NRC ккал/кг</t>
  </si>
  <si>
    <t>Входящий вес кг</t>
  </si>
  <si>
    <t>Вес выхода кг</t>
  </si>
  <si>
    <t xml:space="preserve"> г SID Лиз:Мкал NRC ОЭ</t>
  </si>
  <si>
    <t xml:space="preserve">   % SID Лизин</t>
  </si>
  <si>
    <t>Кормовой бюджет кг/гол</t>
  </si>
  <si>
    <t xml:space="preserve"> Дней кормления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</si>
</sst>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0.000"/>
    <numFmt numFmtId="166" formatCode="0.0"/>
    <numFmt numFmtId="167" formatCode="0.0%"/>
    <numFmt numFmtId="168" formatCode="&quot;$&quot;#,##0.00"/>
    <numFmt numFmtId="169" formatCode="[$$-409]#,##0.00_);\([$$-409]#,##0.00\)"/>
    <numFmt numFmtId="170" formatCode="0.0000"/>
    <numFmt numFmtId="171" formatCode="0.00000"/>
    <numFmt numFmtId="172" formatCode="0.000000"/>
    <numFmt numFmtId="173" formatCode="0.000000000000"/>
    <numFmt numFmtId="174" formatCode="0.00000000000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20"/>
      <color indexed="20"/>
      <name val="Calibri"/>
      <family val="2"/>
      <scheme val="minor"/>
    </font>
    <font>
      <b/>
      <sz val="14"/>
      <color indexed="17"/>
      <name val="Calibri"/>
      <family val="2"/>
      <scheme val="minor"/>
    </font>
    <font>
      <b/>
      <sz val="11"/>
      <color indexed="17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rgb="FF9C57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indexed="17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5" fillId="5" borderId="0" applyNumberFormat="0" applyBorder="0" applyAlignment="0" applyProtection="0"/>
    <xf numFmtId="0" fontId="1" fillId="7" borderId="0" applyNumberFormat="0" applyBorder="0" applyAlignment="0" applyProtection="0"/>
    <xf numFmtId="164" fontId="1" fillId="0" borderId="0" applyFont="0" applyFill="0" applyBorder="0" applyAlignment="0" applyProtection="0"/>
  </cellStyleXfs>
  <cellXfs count="258">
    <xf numFmtId="0" fontId="0" fillId="0" borderId="0" xfId="0"/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/>
      <protection hidden="1"/>
    </xf>
    <xf numFmtId="166" fontId="0" fillId="0" borderId="0" xfId="0" applyNumberFormat="1" applyAlignment="1" applyProtection="1">
      <alignment horizontal="center"/>
      <protection hidden="1"/>
    </xf>
    <xf numFmtId="2" fontId="0" fillId="0" borderId="1" xfId="0" applyNumberFormat="1" applyBorder="1" applyAlignment="1" applyProtection="1">
      <alignment horizontal="center"/>
      <protection hidden="1"/>
    </xf>
    <xf numFmtId="2" fontId="4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10" fillId="0" borderId="0" xfId="0" applyFont="1"/>
    <xf numFmtId="167" fontId="0" fillId="0" borderId="0" xfId="1" applyNumberFormat="1" applyFont="1"/>
    <xf numFmtId="0" fontId="13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/>
    </xf>
    <xf numFmtId="0" fontId="0" fillId="0" borderId="0" xfId="1" applyNumberFormat="1" applyFont="1"/>
    <xf numFmtId="2" fontId="0" fillId="0" borderId="0" xfId="0" applyNumberFormat="1" applyAlignment="1">
      <alignment horizontal="center"/>
    </xf>
    <xf numFmtId="166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166" fontId="0" fillId="0" borderId="1" xfId="0" applyNumberForma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8" fillId="3" borderId="2" xfId="2" applyFont="1" applyBorder="1" applyAlignment="1">
      <alignment horizontal="center"/>
    </xf>
    <xf numFmtId="0" fontId="0" fillId="6" borderId="0" xfId="0" applyFill="1" applyAlignment="1">
      <alignment horizontal="center"/>
    </xf>
    <xf numFmtId="2" fontId="0" fillId="0" borderId="0" xfId="0" applyNumberFormat="1" applyProtection="1">
      <protection hidden="1"/>
    </xf>
    <xf numFmtId="1" fontId="0" fillId="6" borderId="1" xfId="0" applyNumberFormat="1" applyFill="1" applyBorder="1" applyAlignment="1" applyProtection="1">
      <alignment horizontal="center"/>
      <protection locked="0"/>
    </xf>
    <xf numFmtId="0" fontId="19" fillId="0" borderId="0" xfId="0" applyFont="1" applyProtection="1"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4" fillId="0" borderId="3" xfId="0" applyFont="1" applyBorder="1" applyAlignment="1" applyProtection="1">
      <alignment horizontal="center"/>
      <protection hidden="1"/>
    </xf>
    <xf numFmtId="0" fontId="4" fillId="0" borderId="3" xfId="0" applyFont="1" applyBorder="1" applyProtection="1">
      <protection hidden="1"/>
    </xf>
    <xf numFmtId="0" fontId="20" fillId="0" borderId="3" xfId="0" applyFont="1" applyBorder="1" applyProtection="1">
      <protection hidden="1"/>
    </xf>
    <xf numFmtId="166" fontId="0" fillId="6" borderId="1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Protection="1">
      <protection hidden="1"/>
    </xf>
    <xf numFmtId="1" fontId="14" fillId="6" borderId="1" xfId="0" applyNumberFormat="1" applyFont="1" applyFill="1" applyBorder="1" applyAlignment="1" applyProtection="1">
      <alignment horizontal="center"/>
      <protection locked="0"/>
    </xf>
    <xf numFmtId="2" fontId="14" fillId="6" borderId="1" xfId="0" applyNumberFormat="1" applyFont="1" applyFill="1" applyBorder="1" applyAlignment="1" applyProtection="1">
      <alignment horizontal="center"/>
      <protection locked="0"/>
    </xf>
    <xf numFmtId="1" fontId="14" fillId="6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>
      <alignment horizontal="center"/>
    </xf>
    <xf numFmtId="9" fontId="0" fillId="0" borderId="0" xfId="1" applyFont="1" applyAlignment="1">
      <alignment horizontal="center" vertical="center"/>
    </xf>
    <xf numFmtId="0" fontId="1" fillId="7" borderId="2" xfId="5" applyBorder="1" applyAlignment="1">
      <alignment horizontal="center"/>
    </xf>
    <xf numFmtId="2" fontId="11" fillId="3" borderId="0" xfId="2" applyNumberFormat="1" applyAlignment="1">
      <alignment horizontal="center"/>
    </xf>
    <xf numFmtId="165" fontId="11" fillId="3" borderId="0" xfId="2" applyNumberFormat="1" applyAlignment="1">
      <alignment horizontal="center"/>
    </xf>
    <xf numFmtId="2" fontId="1" fillId="7" borderId="0" xfId="5" applyNumberFormat="1" applyAlignment="1">
      <alignment horizontal="center"/>
    </xf>
    <xf numFmtId="2" fontId="15" fillId="5" borderId="0" xfId="4" applyNumberFormat="1" applyAlignment="1">
      <alignment horizontal="center"/>
    </xf>
    <xf numFmtId="165" fontId="15" fillId="5" borderId="0" xfId="4" applyNumberFormat="1" applyAlignment="1">
      <alignment horizontal="center"/>
    </xf>
    <xf numFmtId="165" fontId="1" fillId="7" borderId="0" xfId="5" applyNumberFormat="1" applyAlignment="1">
      <alignment horizontal="center" vertical="center"/>
    </xf>
    <xf numFmtId="1" fontId="0" fillId="8" borderId="0" xfId="0" applyNumberForma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  <xf numFmtId="0" fontId="20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164" fontId="0" fillId="0" borderId="0" xfId="6" applyFont="1" applyAlignment="1">
      <alignment horizontal="center"/>
    </xf>
    <xf numFmtId="165" fontId="0" fillId="0" borderId="0" xfId="0" applyNumberForma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8" borderId="0" xfId="0" applyFill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Alignment="1">
      <alignment horizontal="right" vertical="center"/>
    </xf>
    <xf numFmtId="0" fontId="0" fillId="8" borderId="0" xfId="0" applyFill="1" applyAlignment="1" applyProtection="1">
      <alignment horizontal="center" vertical="center"/>
      <protection hidden="1"/>
    </xf>
    <xf numFmtId="0" fontId="0" fillId="8" borderId="0" xfId="0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8" fillId="3" borderId="0" xfId="2" applyFont="1" applyBorder="1" applyAlignment="1">
      <alignment horizontal="center"/>
    </xf>
    <xf numFmtId="0" fontId="1" fillId="7" borderId="0" xfId="5" applyBorder="1" applyAlignment="1">
      <alignment horizontal="center"/>
    </xf>
    <xf numFmtId="0" fontId="15" fillId="5" borderId="0" xfId="4" applyBorder="1" applyAlignment="1">
      <alignment horizontal="center"/>
    </xf>
    <xf numFmtId="2" fontId="5" fillId="0" borderId="0" xfId="0" applyNumberFormat="1" applyFont="1" applyAlignment="1" applyProtection="1">
      <alignment horizontal="center" vertical="center"/>
      <protection hidden="1"/>
    </xf>
    <xf numFmtId="165" fontId="5" fillId="0" borderId="0" xfId="0" applyNumberFormat="1" applyFont="1" applyAlignment="1" applyProtection="1">
      <alignment horizontal="center"/>
      <protection hidden="1"/>
    </xf>
    <xf numFmtId="0" fontId="2" fillId="0" borderId="0" xfId="0" applyFont="1"/>
    <xf numFmtId="10" fontId="2" fillId="0" borderId="0" xfId="0" applyNumberFormat="1" applyFont="1"/>
    <xf numFmtId="10" fontId="2" fillId="0" borderId="0" xfId="1" applyNumberFormat="1" applyFont="1" applyAlignment="1">
      <alignment horizontal="center" vertical="center"/>
    </xf>
    <xf numFmtId="2" fontId="11" fillId="3" borderId="0" xfId="2" applyNumberFormat="1"/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70" fontId="0" fillId="0" borderId="0" xfId="0" applyNumberFormat="1"/>
    <xf numFmtId="170" fontId="0" fillId="0" borderId="0" xfId="1" applyNumberFormat="1" applyFont="1"/>
    <xf numFmtId="171" fontId="0" fillId="0" borderId="0" xfId="1" applyNumberFormat="1" applyFont="1"/>
    <xf numFmtId="172" fontId="0" fillId="0" borderId="0" xfId="1" applyNumberFormat="1" applyFont="1"/>
    <xf numFmtId="165" fontId="0" fillId="0" borderId="0" xfId="1" applyNumberFormat="1" applyFont="1"/>
    <xf numFmtId="2" fontId="0" fillId="0" borderId="0" xfId="1" applyNumberFormat="1" applyFont="1"/>
    <xf numFmtId="0" fontId="0" fillId="10" borderId="0" xfId="0" applyFill="1"/>
    <xf numFmtId="0" fontId="12" fillId="4" borderId="0" xfId="3"/>
    <xf numFmtId="2" fontId="12" fillId="4" borderId="0" xfId="3" applyNumberFormat="1"/>
    <xf numFmtId="165" fontId="12" fillId="4" borderId="0" xfId="3" applyNumberFormat="1"/>
    <xf numFmtId="2" fontId="27" fillId="3" borderId="0" xfId="2" applyNumberFormat="1" applyFont="1" applyBorder="1" applyAlignment="1">
      <alignment horizontal="center"/>
    </xf>
    <xf numFmtId="165" fontId="27" fillId="3" borderId="0" xfId="2" applyNumberFormat="1" applyFont="1" applyBorder="1" applyAlignment="1">
      <alignment horizontal="center"/>
    </xf>
    <xf numFmtId="165" fontId="15" fillId="5" borderId="0" xfId="4" applyNumberFormat="1" applyBorder="1" applyAlignment="1">
      <alignment horizontal="center"/>
    </xf>
    <xf numFmtId="2" fontId="15" fillId="5" borderId="0" xfId="4" applyNumberFormat="1" applyBorder="1" applyAlignment="1">
      <alignment horizontal="center"/>
    </xf>
    <xf numFmtId="1" fontId="2" fillId="0" borderId="0" xfId="0" applyNumberFormat="1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65" fontId="1" fillId="7" borderId="0" xfId="5" applyNumberFormat="1" applyAlignment="1">
      <alignment horizontal="center"/>
    </xf>
    <xf numFmtId="0" fontId="15" fillId="5" borderId="4" xfId="4" applyBorder="1" applyAlignment="1">
      <alignment horizontal="center"/>
    </xf>
    <xf numFmtId="2" fontId="0" fillId="6" borderId="1" xfId="0" applyNumberForma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7" fontId="5" fillId="0" borderId="0" xfId="1" applyNumberFormat="1" applyFont="1" applyAlignment="1">
      <alignment horizontal="center" vertical="center"/>
    </xf>
    <xf numFmtId="167" fontId="28" fillId="0" borderId="0" xfId="1" applyNumberFormat="1" applyFont="1" applyAlignment="1">
      <alignment horizontal="center" vertical="center"/>
    </xf>
    <xf numFmtId="0" fontId="29" fillId="4" borderId="4" xfId="3" applyFont="1" applyBorder="1" applyAlignment="1" applyProtection="1">
      <alignment horizontal="center" vertical="center"/>
      <protection hidden="1"/>
    </xf>
    <xf numFmtId="0" fontId="25" fillId="3" borderId="4" xfId="2" applyFont="1" applyBorder="1" applyAlignment="1" applyProtection="1">
      <alignment horizontal="center" vertical="center"/>
      <protection hidden="1"/>
    </xf>
    <xf numFmtId="1" fontId="0" fillId="0" borderId="0" xfId="0" applyNumberFormat="1" applyFont="1" applyAlignment="1">
      <alignment horizontal="center" vertical="center"/>
    </xf>
    <xf numFmtId="2" fontId="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2" fontId="0" fillId="0" borderId="0" xfId="0" applyNumberFormat="1" applyFont="1" applyAlignment="1">
      <alignment horizontal="center" vertical="center"/>
    </xf>
    <xf numFmtId="165" fontId="0" fillId="6" borderId="1" xfId="0" applyNumberFormat="1" applyFill="1" applyBorder="1" applyAlignment="1" applyProtection="1">
      <alignment horizontal="center"/>
      <protection locked="0"/>
    </xf>
    <xf numFmtId="173" fontId="0" fillId="0" borderId="0" xfId="0" applyNumberFormat="1" applyProtection="1">
      <protection hidden="1"/>
    </xf>
    <xf numFmtId="165" fontId="0" fillId="0" borderId="1" xfId="0" applyNumberFormat="1" applyBorder="1" applyAlignment="1" applyProtection="1">
      <alignment horizontal="center"/>
      <protection hidden="1"/>
    </xf>
    <xf numFmtId="171" fontId="0" fillId="0" borderId="0" xfId="0" applyNumberFormat="1" applyAlignment="1">
      <alignment horizontal="center"/>
    </xf>
    <xf numFmtId="0" fontId="14" fillId="8" borderId="0" xfId="0" applyFont="1" applyFill="1" applyAlignment="1">
      <alignment horizontal="center" wrapText="1"/>
    </xf>
    <xf numFmtId="174" fontId="0" fillId="0" borderId="0" xfId="0" applyNumberFormat="1"/>
    <xf numFmtId="165" fontId="0" fillId="8" borderId="0" xfId="0" applyNumberFormat="1" applyFill="1" applyAlignment="1">
      <alignment horizontal="center" vertical="center"/>
    </xf>
    <xf numFmtId="1" fontId="0" fillId="8" borderId="0" xfId="0" applyNumberFormat="1" applyFont="1" applyFill="1" applyAlignment="1">
      <alignment horizontal="center" vertical="center"/>
    </xf>
    <xf numFmtId="165" fontId="0" fillId="8" borderId="0" xfId="0" applyNumberFormat="1" applyFill="1"/>
    <xf numFmtId="0" fontId="2" fillId="8" borderId="0" xfId="0" applyFont="1" applyFill="1" applyBorder="1" applyAlignment="1" applyProtection="1">
      <alignment horizontal="center" vertical="center"/>
      <protection hidden="1"/>
    </xf>
    <xf numFmtId="2" fontId="0" fillId="8" borderId="0" xfId="0" applyNumberFormat="1" applyFill="1" applyAlignment="1">
      <alignment horizontal="center" vertical="center"/>
    </xf>
    <xf numFmtId="0" fontId="0" fillId="8" borderId="0" xfId="0" applyFill="1"/>
    <xf numFmtId="2" fontId="0" fillId="8" borderId="0" xfId="0" applyNumberFormat="1" applyFont="1" applyFill="1" applyBorder="1" applyAlignment="1" applyProtection="1">
      <alignment horizontal="center" vertical="center"/>
      <protection hidden="1"/>
    </xf>
    <xf numFmtId="165" fontId="0" fillId="8" borderId="0" xfId="0" applyNumberFormat="1" applyFill="1" applyAlignment="1">
      <alignment horizontal="center"/>
    </xf>
    <xf numFmtId="0" fontId="0" fillId="0" borderId="0" xfId="0" quotePrefix="1"/>
    <xf numFmtId="0" fontId="0" fillId="0" borderId="14" xfId="0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3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29" fillId="0" borderId="0" xfId="3" applyFont="1" applyFill="1" applyBorder="1" applyAlignment="1">
      <alignment horizontal="center"/>
    </xf>
    <xf numFmtId="0" fontId="29" fillId="0" borderId="0" xfId="3" applyFont="1" applyFill="1" applyBorder="1" applyAlignment="1">
      <alignment horizontal="center" vertical="center"/>
    </xf>
    <xf numFmtId="166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3" xfId="0" applyFill="1" applyBorder="1"/>
    <xf numFmtId="2" fontId="0" fillId="0" borderId="3" xfId="0" applyNumberFormat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166" fontId="0" fillId="2" borderId="1" xfId="0" applyNumberFormat="1" applyFont="1" applyFill="1" applyBorder="1" applyAlignment="1" applyProtection="1">
      <alignment horizontal="center"/>
      <protection locked="0"/>
    </xf>
    <xf numFmtId="171" fontId="0" fillId="0" borderId="0" xfId="0" applyNumberFormat="1" applyProtection="1">
      <protection hidden="1"/>
    </xf>
    <xf numFmtId="1" fontId="0" fillId="2" borderId="1" xfId="0" applyNumberFormat="1" applyFont="1" applyFill="1" applyBorder="1" applyAlignment="1" applyProtection="1">
      <alignment horizontal="center" vertical="center"/>
      <protection hidden="1"/>
    </xf>
    <xf numFmtId="168" fontId="0" fillId="2" borderId="1" xfId="0" applyNumberFormat="1" applyFont="1" applyFill="1" applyBorder="1" applyAlignment="1" applyProtection="1">
      <alignment horizontal="center" vertical="center"/>
      <protection hidden="1"/>
    </xf>
    <xf numFmtId="2" fontId="0" fillId="6" borderId="1" xfId="0" applyNumberFormat="1" applyFont="1" applyFill="1" applyBorder="1" applyAlignment="1" applyProtection="1">
      <alignment horizontal="center" vertical="center"/>
      <protection hidden="1"/>
    </xf>
    <xf numFmtId="2" fontId="0" fillId="0" borderId="1" xfId="0" applyNumberFormat="1" applyFont="1" applyFill="1" applyBorder="1" applyAlignment="1" applyProtection="1">
      <alignment horizontal="center" vertical="center"/>
      <protection hidden="1"/>
    </xf>
    <xf numFmtId="169" fontId="0" fillId="6" borderId="1" xfId="6" applyNumberFormat="1" applyFont="1" applyFill="1" applyBorder="1" applyAlignment="1" applyProtection="1">
      <alignment horizontal="center" vertical="center"/>
      <protection hidden="1"/>
    </xf>
    <xf numFmtId="166" fontId="0" fillId="6" borderId="1" xfId="0" applyNumberFormat="1" applyFill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" fillId="0" borderId="0" xfId="0" applyFont="1" applyAlignment="1"/>
    <xf numFmtId="0" fontId="0" fillId="0" borderId="0" xfId="0" applyFont="1" applyAlignment="1"/>
    <xf numFmtId="1" fontId="2" fillId="0" borderId="0" xfId="0" applyNumberFormat="1" applyFont="1" applyAlignment="1">
      <alignment horizontal="center"/>
    </xf>
    <xf numFmtId="0" fontId="30" fillId="11" borderId="15" xfId="0" applyFont="1" applyFill="1" applyBorder="1" applyAlignment="1"/>
    <xf numFmtId="0" fontId="0" fillId="0" borderId="0" xfId="0" applyAlignment="1">
      <alignment horizontal="center"/>
    </xf>
    <xf numFmtId="0" fontId="14" fillId="8" borderId="14" xfId="0" applyFont="1" applyFill="1" applyBorder="1" applyAlignment="1">
      <alignment horizontal="center" wrapText="1"/>
    </xf>
    <xf numFmtId="2" fontId="27" fillId="3" borderId="14" xfId="2" applyNumberFormat="1" applyFont="1" applyBorder="1" applyAlignment="1">
      <alignment horizontal="center"/>
    </xf>
    <xf numFmtId="165" fontId="27" fillId="3" borderId="14" xfId="2" applyNumberFormat="1" applyFont="1" applyBorder="1" applyAlignment="1">
      <alignment horizontal="center"/>
    </xf>
    <xf numFmtId="2" fontId="1" fillId="7" borderId="14" xfId="5" applyNumberFormat="1" applyBorder="1" applyAlignment="1">
      <alignment horizontal="center"/>
    </xf>
    <xf numFmtId="165" fontId="1" fillId="7" borderId="14" xfId="5" applyNumberFormat="1" applyBorder="1" applyAlignment="1">
      <alignment horizontal="center" vertical="center"/>
    </xf>
    <xf numFmtId="165" fontId="1" fillId="7" borderId="14" xfId="5" applyNumberFormat="1" applyBorder="1" applyAlignment="1">
      <alignment horizontal="center"/>
    </xf>
    <xf numFmtId="2" fontId="15" fillId="5" borderId="14" xfId="4" applyNumberFormat="1" applyBorder="1" applyAlignment="1">
      <alignment horizontal="center"/>
    </xf>
    <xf numFmtId="165" fontId="15" fillId="5" borderId="14" xfId="4" applyNumberFormat="1" applyBorder="1" applyAlignment="1">
      <alignment horizontal="center"/>
    </xf>
    <xf numFmtId="0" fontId="0" fillId="0" borderId="14" xfId="0" applyBorder="1" applyAlignment="1">
      <alignment horizontal="center"/>
    </xf>
    <xf numFmtId="171" fontId="0" fillId="0" borderId="14" xfId="0" applyNumberFormat="1" applyBorder="1" applyAlignment="1">
      <alignment horizontal="center"/>
    </xf>
    <xf numFmtId="0" fontId="0" fillId="6" borderId="14" xfId="0" applyFill="1" applyBorder="1" applyAlignment="1">
      <alignment horizontal="center"/>
    </xf>
    <xf numFmtId="2" fontId="11" fillId="3" borderId="14" xfId="2" applyNumberFormat="1" applyBorder="1" applyAlignment="1">
      <alignment horizontal="center"/>
    </xf>
    <xf numFmtId="165" fontId="11" fillId="3" borderId="14" xfId="2" applyNumberFormat="1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11" fillId="3" borderId="0" xfId="2" applyNumberFormat="1" applyBorder="1" applyAlignment="1">
      <alignment horizontal="center"/>
    </xf>
    <xf numFmtId="2" fontId="1" fillId="7" borderId="0" xfId="5" applyNumberFormat="1" applyBorder="1" applyAlignment="1">
      <alignment horizontal="center"/>
    </xf>
    <xf numFmtId="165" fontId="1" fillId="7" borderId="0" xfId="5" applyNumberFormat="1" applyBorder="1" applyAlignment="1">
      <alignment horizontal="center" vertical="center"/>
    </xf>
    <xf numFmtId="165" fontId="1" fillId="7" borderId="0" xfId="5" applyNumberFormat="1" applyBorder="1" applyAlignment="1">
      <alignment horizontal="center"/>
    </xf>
    <xf numFmtId="171" fontId="0" fillId="0" borderId="0" xfId="0" applyNumberFormat="1" applyBorder="1" applyAlignment="1">
      <alignment horizontal="center"/>
    </xf>
    <xf numFmtId="165" fontId="11" fillId="3" borderId="0" xfId="2" applyNumberFormat="1" applyBorder="1" applyAlignment="1">
      <alignment horizontal="center"/>
    </xf>
    <xf numFmtId="2" fontId="0" fillId="6" borderId="17" xfId="0" applyNumberFormat="1" applyFont="1" applyFill="1" applyBorder="1" applyAlignment="1" applyProtection="1">
      <alignment horizontal="center" vertical="center"/>
      <protection hidden="1"/>
    </xf>
    <xf numFmtId="2" fontId="32" fillId="0" borderId="0" xfId="0" applyNumberFormat="1" applyFont="1" applyBorder="1" applyAlignment="1" applyProtection="1">
      <alignment horizontal="center"/>
      <protection hidden="1"/>
    </xf>
    <xf numFmtId="169" fontId="0" fillId="2" borderId="1" xfId="6" applyNumberFormat="1" applyFont="1" applyFill="1" applyBorder="1" applyAlignment="1" applyProtection="1">
      <alignment horizontal="center"/>
      <protection hidden="1"/>
    </xf>
    <xf numFmtId="0" fontId="25" fillId="3" borderId="4" xfId="2" applyFont="1" applyBorder="1" applyAlignment="1">
      <alignment horizontal="center" vertical="center"/>
    </xf>
    <xf numFmtId="0" fontId="26" fillId="5" borderId="4" xfId="4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6" fillId="4" borderId="0" xfId="3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9" fillId="4" borderId="4" xfId="3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24" fillId="4" borderId="4" xfId="3" applyFont="1" applyBorder="1" applyAlignment="1">
      <alignment horizontal="center" vertical="center"/>
    </xf>
    <xf numFmtId="0" fontId="25" fillId="3" borderId="4" xfId="2" applyFont="1" applyBorder="1" applyAlignment="1">
      <alignment horizontal="center" vertical="center"/>
    </xf>
    <xf numFmtId="0" fontId="26" fillId="5" borderId="4" xfId="4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6" fillId="4" borderId="0" xfId="3" applyFont="1" applyAlignment="1">
      <alignment horizontal="center"/>
    </xf>
    <xf numFmtId="0" fontId="18" fillId="3" borderId="5" xfId="2" applyFont="1" applyBorder="1" applyAlignment="1">
      <alignment horizontal="center" wrapText="1"/>
    </xf>
    <xf numFmtId="0" fontId="18" fillId="3" borderId="6" xfId="2" applyFont="1" applyBorder="1" applyAlignment="1">
      <alignment horizontal="center" wrapText="1"/>
    </xf>
    <xf numFmtId="0" fontId="18" fillId="3" borderId="7" xfId="2" applyFont="1" applyBorder="1" applyAlignment="1">
      <alignment horizontal="center" wrapText="1"/>
    </xf>
    <xf numFmtId="0" fontId="15" fillId="5" borderId="4" xfId="4" applyBorder="1" applyAlignment="1">
      <alignment horizontal="center" wrapText="1"/>
    </xf>
    <xf numFmtId="0" fontId="21" fillId="5" borderId="4" xfId="4" applyFont="1" applyBorder="1" applyAlignment="1">
      <alignment horizontal="center"/>
    </xf>
    <xf numFmtId="0" fontId="17" fillId="3" borderId="8" xfId="2" applyFont="1" applyBorder="1" applyAlignment="1">
      <alignment horizontal="center"/>
    </xf>
    <xf numFmtId="0" fontId="17" fillId="3" borderId="9" xfId="2" applyFont="1" applyBorder="1" applyAlignment="1">
      <alignment horizontal="center"/>
    </xf>
    <xf numFmtId="0" fontId="1" fillId="7" borderId="5" xfId="5" applyBorder="1" applyAlignment="1">
      <alignment horizontal="center" wrapText="1"/>
    </xf>
    <xf numFmtId="0" fontId="1" fillId="7" borderId="6" xfId="5" applyBorder="1" applyAlignment="1">
      <alignment horizontal="center" wrapText="1"/>
    </xf>
    <xf numFmtId="0" fontId="1" fillId="7" borderId="7" xfId="5" applyBorder="1" applyAlignment="1">
      <alignment horizontal="center" wrapText="1"/>
    </xf>
    <xf numFmtId="0" fontId="22" fillId="7" borderId="10" xfId="5" applyFont="1" applyBorder="1" applyAlignment="1">
      <alignment horizontal="center"/>
    </xf>
    <xf numFmtId="0" fontId="22" fillId="7" borderId="8" xfId="5" applyFont="1" applyBorder="1" applyAlignment="1">
      <alignment horizontal="center"/>
    </xf>
    <xf numFmtId="0" fontId="22" fillId="7" borderId="9" xfId="5" applyFont="1" applyBorder="1" applyAlignment="1">
      <alignment horizontal="center"/>
    </xf>
    <xf numFmtId="0" fontId="23" fillId="9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0" fillId="11" borderId="15" xfId="0" applyFont="1" applyFill="1" applyBorder="1" applyAlignment="1">
      <alignment horizontal="center"/>
    </xf>
    <xf numFmtId="0" fontId="29" fillId="4" borderId="4" xfId="3" applyFont="1" applyBorder="1" applyAlignment="1">
      <alignment horizontal="center"/>
    </xf>
    <xf numFmtId="0" fontId="25" fillId="3" borderId="4" xfId="2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9" fillId="4" borderId="4" xfId="3" applyFont="1" applyBorder="1" applyAlignment="1">
      <alignment horizontal="center" vertical="center"/>
    </xf>
    <xf numFmtId="0" fontId="25" fillId="3" borderId="11" xfId="2" applyFont="1" applyBorder="1" applyAlignment="1">
      <alignment horizontal="center"/>
    </xf>
    <xf numFmtId="0" fontId="25" fillId="3" borderId="12" xfId="2" applyFont="1" applyBorder="1" applyAlignment="1">
      <alignment horizontal="center"/>
    </xf>
    <xf numFmtId="0" fontId="25" fillId="3" borderId="13" xfId="2" applyFont="1" applyBorder="1" applyAlignment="1">
      <alignment horizontal="center"/>
    </xf>
  </cellXfs>
  <cellStyles count="7">
    <cellStyle name="20% — акцент5" xfId="5" builtinId="46"/>
    <cellStyle name="Денежный" xfId="6" builtinId="4"/>
    <cellStyle name="Нейтральный" xfId="4" builtinId="28"/>
    <cellStyle name="Обычный" xfId="0" builtinId="0"/>
    <cellStyle name="Плохой" xfId="3" builtinId="27"/>
    <cellStyle name="Процентный" xfId="1" builtinId="5"/>
    <cellStyle name="Хороший" xfId="2" builtinId="26"/>
  </cellStyles>
  <dxfs count="7"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rgb="FFEF7979"/>
        </patternFill>
      </fill>
    </dxf>
    <dxf>
      <numFmt numFmtId="1" formatCode="0"/>
    </dxf>
    <dxf>
      <numFmt numFmtId="1" formatCode="0"/>
    </dxf>
    <dxf>
      <numFmt numFmtId="2" formatCode="0.00"/>
    </dxf>
    <dxf>
      <font>
        <color theme="0"/>
      </font>
      <fill>
        <patternFill>
          <bgColor theme="0"/>
        </patternFill>
      </fill>
      <border>
        <left/>
        <right/>
        <bottom/>
      </border>
    </dxf>
  </dxfs>
  <tableStyles count="0" defaultTableStyle="TableStyleMedium2" defaultPivotStyle="PivotStyleLight16"/>
  <colors>
    <mruColors>
      <color rgb="FFFF000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hartsheet" Target="chartsheets/sheet3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hartsheet" Target="chartsheets/sheet2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hartsheet" Target="chartsheets/sheet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Nursery!$C$1</c:f>
              <c:strCache>
                <c:ptCount val="1"/>
                <c:pt idx="0">
                  <c:v>ADG, kg</c:v>
                </c:pt>
              </c:strCache>
            </c:strRef>
          </c:tx>
          <c:marker>
            <c:symbol val="none"/>
          </c:marker>
          <c:xVal>
            <c:numRef>
              <c:f>Nursery!$B$2:$B$184</c:f>
              <c:numCache>
                <c:formatCode>0.00</c:formatCode>
                <c:ptCount val="183"/>
                <c:pt idx="0">
                  <c:v>5.65</c:v>
                </c:pt>
                <c:pt idx="1">
                  <c:v>5.6560000000000006</c:v>
                </c:pt>
                <c:pt idx="2">
                  <c:v>5.6871038663317339</c:v>
                </c:pt>
                <c:pt idx="3">
                  <c:v>5.7418524808334492</c:v>
                </c:pt>
                <c:pt idx="4">
                  <c:v>5.8200064682290211</c:v>
                </c:pt>
                <c:pt idx="5">
                  <c:v>5.9210215175209182</c:v>
                </c:pt>
                <c:pt idx="6">
                  <c:v>6.0443533177116082</c:v>
                </c:pt>
                <c:pt idx="7">
                  <c:v>6.1894575578035607</c:v>
                </c:pt>
                <c:pt idx="8">
                  <c:v>6.3557899267992433</c:v>
                </c:pt>
                <c:pt idx="9">
                  <c:v>6.5428061137011246</c:v>
                </c:pt>
                <c:pt idx="10">
                  <c:v>6.7499618075116734</c:v>
                </c:pt>
                <c:pt idx="11">
                  <c:v>6.9767126972333582</c:v>
                </c:pt>
                <c:pt idx="12">
                  <c:v>7.2225144718686467</c:v>
                </c:pt>
                <c:pt idx="13">
                  <c:v>7.4868228204200085</c:v>
                </c:pt>
                <c:pt idx="14">
                  <c:v>7.7690934318899121</c:v>
                </c:pt>
                <c:pt idx="15">
                  <c:v>8.0687819952808244</c:v>
                </c:pt>
                <c:pt idx="16">
                  <c:v>8.3853441995952149</c:v>
                </c:pt>
                <c:pt idx="17">
                  <c:v>8.7182357338355523</c:v>
                </c:pt>
                <c:pt idx="18">
                  <c:v>9.0669122870043033</c:v>
                </c:pt>
                <c:pt idx="19">
                  <c:v>9.4308295481039384</c:v>
                </c:pt>
                <c:pt idx="20">
                  <c:v>9.8094432061369261</c:v>
                </c:pt>
                <c:pt idx="21">
                  <c:v>10.202208950105733</c:v>
                </c:pt>
                <c:pt idx="22">
                  <c:v>10.608582469012829</c:v>
                </c:pt>
                <c:pt idx="23">
                  <c:v>11.028019451860683</c:v>
                </c:pt>
                <c:pt idx="24">
                  <c:v>11.459975587651762</c:v>
                </c:pt>
                <c:pt idx="25">
                  <c:v>11.90160394586934</c:v>
                </c:pt>
                <c:pt idx="26">
                  <c:v>12.353121103797351</c:v>
                </c:pt>
                <c:pt idx="27">
                  <c:v>12.814748488248393</c:v>
                </c:pt>
                <c:pt idx="28">
                  <c:v>13.286712484152808</c:v>
                </c:pt>
                <c:pt idx="29">
                  <c:v>13.769244545579264</c:v>
                </c:pt>
                <c:pt idx="30">
                  <c:v>14.262581309241252</c:v>
                </c:pt>
                <c:pt idx="31">
                  <c:v>14.766964710545206</c:v>
                </c:pt>
                <c:pt idx="32">
                  <c:v>15.282642102237125</c:v>
                </c:pt>
                <c:pt idx="33">
                  <c:v>15.809866375705884</c:v>
                </c:pt>
                <c:pt idx="34">
                  <c:v>16.348896085002753</c:v>
                </c:pt>
                <c:pt idx="35">
                  <c:v>16.899995573637892</c:v>
                </c:pt>
                <c:pt idx="36">
                  <c:v>17.463435104216057</c:v>
                </c:pt>
                <c:pt idx="37">
                  <c:v>18.03949099097505</c:v>
                </c:pt>
                <c:pt idx="38">
                  <c:v>18.628445735291937</c:v>
                </c:pt>
                <c:pt idx="39">
                  <c:v>19.230588164223473</c:v>
                </c:pt>
                <c:pt idx="40">
                  <c:v>19.846213572148681</c:v>
                </c:pt>
                <c:pt idx="41">
                  <c:v>20.475623865583042</c:v>
                </c:pt>
                <c:pt idx="42">
                  <c:v>21.118767245594924</c:v>
                </c:pt>
                <c:pt idx="43">
                  <c:v>21.776680221739266</c:v>
                </c:pt>
                <c:pt idx="44">
                  <c:v>22.443890449812482</c:v>
                </c:pt>
                <c:pt idx="45">
                  <c:v>23.120270571214487</c:v>
                </c:pt>
                <c:pt idx="46">
                  <c:v>23.80569124315759</c:v>
                </c:pt>
                <c:pt idx="47">
                  <c:v>24.500021227874193</c:v>
                </c:pt>
                <c:pt idx="48">
                  <c:v>25.203127481653272</c:v>
                </c:pt>
                <c:pt idx="49">
                  <c:v>25.914875243654286</c:v>
                </c:pt>
                <c:pt idx="50">
                  <c:v>26.635128124445604</c:v>
                </c:pt>
                <c:pt idx="51">
                  <c:v>27.363748194213375</c:v>
                </c:pt>
                <c:pt idx="52">
                  <c:v>28.100596070586015</c:v>
                </c:pt>
                <c:pt idx="53">
                  <c:v>28.845531006018703</c:v>
                </c:pt>
                <c:pt idx="54">
                  <c:v>29.598410974682274</c:v>
                </c:pt>
                <c:pt idx="55">
                  <c:v>30.359092758800429</c:v>
                </c:pt>
                <c:pt idx="56">
                  <c:v>31.127432034379694</c:v>
                </c:pt>
                <c:pt idx="57">
                  <c:v>31.903283456276839</c:v>
                </c:pt>
                <c:pt idx="58">
                  <c:v>32.686500742548724</c:v>
                </c:pt>
                <c:pt idx="59">
                  <c:v>33.476936758030718</c:v>
                </c:pt>
                <c:pt idx="60">
                  <c:v>34.274443597090482</c:v>
                </c:pt>
                <c:pt idx="61">
                  <c:v>35.078872665504804</c:v>
                </c:pt>
                <c:pt idx="62">
                  <c:v>35.890074761408812</c:v>
                </c:pt>
                <c:pt idx="63">
                  <c:v>36.707900155267652</c:v>
                </c:pt>
                <c:pt idx="64">
                  <c:v>37.532198668822481</c:v>
                </c:pt>
                <c:pt idx="65">
                  <c:v>38.362819752964327</c:v>
                </c:pt>
                <c:pt idx="66">
                  <c:v>39.199612564490117</c:v>
                </c:pt>
                <c:pt idx="67">
                  <c:v>40.04242604169827</c:v>
                </c:pt>
                <c:pt idx="68">
                  <c:v>40.89110897878146</c:v>
                </c:pt>
                <c:pt idx="69">
                  <c:v>41.745510098977427</c:v>
                </c:pt>
                <c:pt idx="70">
                  <c:v>42.605478126439635</c:v>
                </c:pt>
                <c:pt idx="71">
                  <c:v>43.470861856791842</c:v>
                </c:pt>
                <c:pt idx="72">
                  <c:v>44.341510226332886</c:v>
                </c:pt>
                <c:pt idx="73">
                  <c:v>45.21727237985958</c:v>
                </c:pt>
                <c:pt idx="74">
                  <c:v>46.097997737077939</c:v>
                </c:pt>
                <c:pt idx="75">
                  <c:v>46.983536057575122</c:v>
                </c:pt>
                <c:pt idx="76">
                  <c:v>47.873737504326087</c:v>
                </c:pt>
                <c:pt idx="77">
                  <c:v>48.768452705711795</c:v>
                </c:pt>
                <c:pt idx="78">
                  <c:v>49.667532816027069</c:v>
                </c:pt>
                <c:pt idx="79">
                  <c:v>50.570829574459083</c:v>
                </c:pt>
                <c:pt idx="80">
                  <c:v>51.478195362518946</c:v>
                </c:pt>
                <c:pt idx="81">
                  <c:v>52.389483259911238</c:v>
                </c:pt>
                <c:pt idx="82">
                  <c:v>53.304547098828337</c:v>
                </c:pt>
                <c:pt idx="83">
                  <c:v>54.223241516658341</c:v>
                </c:pt>
                <c:pt idx="84">
                  <c:v>55.145422007097707</c:v>
                </c:pt>
                <c:pt idx="85">
                  <c:v>56.070944969660843</c:v>
                </c:pt>
                <c:pt idx="86">
                  <c:v>56.999667757582202</c:v>
                </c:pt>
                <c:pt idx="87">
                  <c:v>57.931448724106971</c:v>
                </c:pt>
                <c:pt idx="88">
                  <c:v>58.866147267169168</c:v>
                </c:pt>
                <c:pt idx="89">
                  <c:v>59.803623872457344</c:v>
                </c:pt>
                <c:pt idx="90">
                  <c:v>60.743740154870281</c:v>
                </c:pt>
                <c:pt idx="91">
                  <c:v>61.686358898366166</c:v>
                </c:pt>
                <c:pt idx="92">
                  <c:v>62.631344094211038</c:v>
                </c:pt>
                <c:pt idx="93">
                  <c:v>63.578560977633487</c:v>
                </c:pt>
                <c:pt idx="94">
                  <c:v>64.527876062894478</c:v>
                </c:pt>
                <c:pt idx="95">
                  <c:v>65.479157176782138</c:v>
                </c:pt>
                <c:pt idx="96">
                  <c:v>66.432273490543707</c:v>
                </c:pt>
                <c:pt idx="97">
                  <c:v>67.387095550267077</c:v>
                </c:pt>
                <c:pt idx="98">
                  <c:v>68.343495305726933</c:v>
                </c:pt>
                <c:pt idx="99">
                  <c:v>69.301346137710397</c:v>
                </c:pt>
                <c:pt idx="100">
                  <c:v>70.260522883839826</c:v>
                </c:pt>
                <c:pt idx="101">
                  <c:v>71.220901862910239</c:v>
                </c:pt>
                <c:pt idx="102">
                  <c:v>72.18236089776066</c:v>
                </c:pt>
                <c:pt idx="103">
                  <c:v>73.144779336699344</c:v>
                </c:pt>
                <c:pt idx="104">
                  <c:v>74.108038073504417</c:v>
                </c:pt>
                <c:pt idx="105">
                  <c:v>75.07201956602141</c:v>
                </c:pt>
                <c:pt idx="106">
                  <c:v>76.036607853380929</c:v>
                </c:pt>
                <c:pt idx="107">
                  <c:v>77.001688571859901</c:v>
                </c:pt>
                <c:pt idx="108">
                  <c:v>77.967148969410999</c:v>
                </c:pt>
                <c:pt idx="109">
                  <c:v>78.932877918884913</c:v>
                </c:pt>
                <c:pt idx="110">
                  <c:v>79.89876592997183</c:v>
                </c:pt>
                <c:pt idx="111">
                  <c:v>80.864705159887507</c:v>
                </c:pt>
                <c:pt idx="112">
                  <c:v>81.830589422831395</c:v>
                </c:pt>
                <c:pt idx="113">
                  <c:v>82.796314198243707</c:v>
                </c:pt>
                <c:pt idx="114">
                  <c:v>83.761776637889014</c:v>
                </c:pt>
                <c:pt idx="115">
                  <c:v>84.72687557179438</c:v>
                </c:pt>
                <c:pt idx="116">
                  <c:v>85.691511513070409</c:v>
                </c:pt>
                <c:pt idx="117">
                  <c:v>86.655586661643497</c:v>
                </c:pt>
                <c:pt idx="118">
                  <c:v>87.619004906928069</c:v>
                </c:pt>
                <c:pt idx="119">
                  <c:v>88.581671829467837</c:v>
                </c:pt>
                <c:pt idx="120">
                  <c:v>89.543494701574872</c:v>
                </c:pt>
                <c:pt idx="121">
                  <c:v>90.504382486995482</c:v>
                </c:pt>
                <c:pt idx="122">
                  <c:v>91.464245839632298</c:v>
                </c:pt>
                <c:pt idx="123">
                  <c:v>92.422997101351399</c:v>
                </c:pt>
                <c:pt idx="124">
                  <c:v>93.380550298903586</c:v>
                </c:pt>
                <c:pt idx="125">
                  <c:v>94.336821139988658</c:v>
                </c:pt>
                <c:pt idx="126">
                  <c:v>95.291727008491875</c:v>
                </c:pt>
                <c:pt idx="127">
                  <c:v>96.245186958920812</c:v>
                </c:pt>
                <c:pt idx="128">
                  <c:v>97.197121710071457</c:v>
                </c:pt>
                <c:pt idx="129">
                  <c:v>98.147453637951756</c:v>
                </c:pt>
                <c:pt idx="130">
                  <c:v>99.096106767990889</c:v>
                </c:pt>
                <c:pt idx="131">
                  <c:v>100.0430067665614</c:v>
                </c:pt>
                <c:pt idx="132">
                  <c:v>100.98808093184263</c:v>
                </c:pt>
                <c:pt idx="133">
                  <c:v>101.931258184052</c:v>
                </c:pt>
                <c:pt idx="134">
                  <c:v>102.87246905507105</c:v>
                </c:pt>
                <c:pt idx="135">
                  <c:v>103.81164567749326</c:v>
                </c:pt>
                <c:pt idx="136">
                  <c:v>104.74872177311906</c:v>
                </c:pt>
                <c:pt idx="137">
                  <c:v>105.68363264092434</c:v>
                </c:pt>
                <c:pt idx="138">
                  <c:v>106.61631514452745</c:v>
                </c:pt>
                <c:pt idx="139">
                  <c:v>107.54670769917989</c:v>
                </c:pt>
                <c:pt idx="140">
                  <c:v>108.47475025830499</c:v>
                </c:pt>
                <c:pt idx="141">
                  <c:v>109.40038429960839</c:v>
                </c:pt>
                <c:pt idx="142">
                  <c:v>110.32355281078438</c:v>
                </c:pt>
                <c:pt idx="143">
                  <c:v>111.24420027484101</c:v>
                </c:pt>
                <c:pt idx="144">
                  <c:v>112.162272655066</c:v>
                </c:pt>
                <c:pt idx="145">
                  <c:v>113.07771737965686</c:v>
                </c:pt>
                <c:pt idx="146">
                  <c:v>113.99048332603523</c:v>
                </c:pt>
                <c:pt idx="147">
                  <c:v>114.90052080486808</c:v>
                </c:pt>
                <c:pt idx="148">
                  <c:v>115.80778154381539</c:v>
                </c:pt>
                <c:pt idx="149">
                  <c:v>116.71221867102484</c:v>
                </c:pt>
                <c:pt idx="150">
                  <c:v>117.61378669839311</c:v>
                </c:pt>
                <c:pt idx="151">
                  <c:v>118.5124415046127</c:v>
                </c:pt>
                <c:pt idx="152">
                  <c:v>119.40814031802313</c:v>
                </c:pt>
                <c:pt idx="153">
                  <c:v>120.3008416992844</c:v>
                </c:pt>
                <c:pt idx="154">
                  <c:v>121.19050552389018</c:v>
                </c:pt>
                <c:pt idx="155">
                  <c:v>122.077092964538</c:v>
                </c:pt>
                <c:pt idx="156">
                  <c:v>122.96056647337296</c:v>
                </c:pt>
                <c:pt idx="157">
                  <c:v>123.8408897641208</c:v>
                </c:pt>
                <c:pt idx="158">
                  <c:v>124.71802779412582</c:v>
                </c:pt>
                <c:pt idx="159">
                  <c:v>125.59194674630905</c:v>
                </c:pt>
                <c:pt idx="160">
                  <c:v>126.46261401106085</c:v>
                </c:pt>
                <c:pt idx="161">
                  <c:v>127.329998168082</c:v>
                </c:pt>
                <c:pt idx="162">
                  <c:v>128.19406896818703</c:v>
                </c:pt>
                <c:pt idx="163">
                  <c:v>129.05479731508245</c:v>
                </c:pt>
                <c:pt idx="164">
                  <c:v>129.91215524713317</c:v>
                </c:pt>
                <c:pt idx="165">
                  <c:v>130.76611591912854</c:v>
                </c:pt>
                <c:pt idx="166">
                  <c:v>131.61665358405969</c:v>
                </c:pt>
                <c:pt idx="167">
                  <c:v>132.46374357492016</c:v>
                </c:pt>
                <c:pt idx="168">
                  <c:v>133.30736228653979</c:v>
                </c:pt>
                <c:pt idx="169">
                  <c:v>134.14748715746208</c:v>
                </c:pt>
                <c:pt idx="170">
                  <c:v>134.984096651876</c:v>
                </c:pt>
                <c:pt idx="171">
                  <c:v>135.81717024161017</c:v>
                </c:pt>
                <c:pt idx="172">
                  <c:v>136.64668838819992</c:v>
                </c:pt>
                <c:pt idx="173">
                  <c:v>137.47263252503481</c:v>
                </c:pt>
                <c:pt idx="174">
                  <c:v>138.29498503959536</c:v>
                </c:pt>
                <c:pt idx="175">
                  <c:v>139.11372925578684</c:v>
                </c:pt>
                <c:pt idx="176">
                  <c:v>139.92884941637709</c:v>
                </c:pt>
                <c:pt idx="177">
                  <c:v>140.74033066554648</c:v>
                </c:pt>
                <c:pt idx="178">
                  <c:v>141.54815903155563</c:v>
                </c:pt>
                <c:pt idx="179">
                  <c:v>142.35232140953764</c:v>
                </c:pt>
                <c:pt idx="180">
                  <c:v>143.15280554442154</c:v>
                </c:pt>
                <c:pt idx="181">
                  <c:v>143.94960001399159</c:v>
                </c:pt>
                <c:pt idx="182">
                  <c:v>144.74269421208828</c:v>
                </c:pt>
              </c:numCache>
            </c:numRef>
          </c:xVal>
          <c:yVal>
            <c:numRef>
              <c:f>Nursery!$C$2:$C$183</c:f>
              <c:numCache>
                <c:formatCode>0.000</c:formatCode>
                <c:ptCount val="182"/>
                <c:pt idx="0">
                  <c:v>6.0000000000000001E-3</c:v>
                </c:pt>
                <c:pt idx="1">
                  <c:v>3.1103866331733343E-2</c:v>
                </c:pt>
                <c:pt idx="2">
                  <c:v>5.4748614501715309E-2</c:v>
                </c:pt>
                <c:pt idx="3">
                  <c:v>7.8153987395571889E-2</c:v>
                </c:pt>
                <c:pt idx="4">
                  <c:v>0.10101504929189709</c:v>
                </c:pt>
                <c:pt idx="5">
                  <c:v>0.12333180019069001</c:v>
                </c:pt>
                <c:pt idx="6">
                  <c:v>0.14510424009195244</c:v>
                </c:pt>
                <c:pt idx="7">
                  <c:v>0.1663323689956826</c:v>
                </c:pt>
                <c:pt idx="8">
                  <c:v>0.18701618690188138</c:v>
                </c:pt>
                <c:pt idx="9">
                  <c:v>0.20715569381054877</c:v>
                </c:pt>
                <c:pt idx="10">
                  <c:v>0.22675088972168478</c:v>
                </c:pt>
                <c:pt idx="11">
                  <c:v>0.24580177463528852</c:v>
                </c:pt>
                <c:pt idx="12">
                  <c:v>0.26430834855136176</c:v>
                </c:pt>
                <c:pt idx="13">
                  <c:v>0.28227061146990362</c:v>
                </c:pt>
                <c:pt idx="14">
                  <c:v>0.29968856339091232</c:v>
                </c:pt>
                <c:pt idx="15">
                  <c:v>0.31656220431439053</c:v>
                </c:pt>
                <c:pt idx="16">
                  <c:v>0.33289153424033735</c:v>
                </c:pt>
                <c:pt idx="17">
                  <c:v>0.34867655316875101</c:v>
                </c:pt>
                <c:pt idx="18">
                  <c:v>0.36391726109963507</c:v>
                </c:pt>
                <c:pt idx="19">
                  <c:v>0.37861365803298774</c:v>
                </c:pt>
                <c:pt idx="20">
                  <c:v>0.39276574396880726</c:v>
                </c:pt>
                <c:pt idx="21">
                  <c:v>0.40637351890709539</c:v>
                </c:pt>
                <c:pt idx="22">
                  <c:v>0.41943698284785391</c:v>
                </c:pt>
                <c:pt idx="23">
                  <c:v>0.43195613579107933</c:v>
                </c:pt>
                <c:pt idx="24">
                  <c:v>0.44162835821757873</c:v>
                </c:pt>
                <c:pt idx="25">
                  <c:v>0.45151715792801084</c:v>
                </c:pt>
                <c:pt idx="26">
                  <c:v>0.46162738445104101</c:v>
                </c:pt>
                <c:pt idx="27">
                  <c:v>0.4719639959044159</c:v>
                </c:pt>
                <c:pt idx="28">
                  <c:v>0.48253206142645505</c:v>
                </c:pt>
                <c:pt idx="29">
                  <c:v>0.49333676366198781</c:v>
                </c:pt>
                <c:pt idx="30">
                  <c:v>0.50438340130395432</c:v>
                </c:pt>
                <c:pt idx="31">
                  <c:v>0.5156773916919174</c:v>
                </c:pt>
                <c:pt idx="32">
                  <c:v>0.52722427346875989</c:v>
                </c:pt>
                <c:pt idx="33">
                  <c:v>0.53902970929686855</c:v>
                </c:pt>
                <c:pt idx="34">
                  <c:v>0.5510994886351398</c:v>
                </c:pt>
                <c:pt idx="35">
                  <c:v>0.56343953057816532</c:v>
                </c:pt>
                <c:pt idx="36">
                  <c:v>0.57605588675899355</c:v>
                </c:pt>
                <c:pt idx="37">
                  <c:v>0.58895474431688732</c:v>
                </c:pt>
                <c:pt idx="38">
                  <c:v>0.6021424289315358</c:v>
                </c:pt>
                <c:pt idx="39">
                  <c:v>0.61562540792520681</c:v>
                </c:pt>
                <c:pt idx="40">
                  <c:v>0.62941029343436183</c:v>
                </c:pt>
                <c:pt idx="41">
                  <c:v>0.64350384565228858</c:v>
                </c:pt>
                <c:pt idx="42">
                  <c:v>0.65791297614434174</c:v>
                </c:pt>
                <c:pt idx="43">
                  <c:v>0.66721022807321617</c:v>
                </c:pt>
                <c:pt idx="44">
                  <c:v>0.67638012140200487</c:v>
                </c:pt>
                <c:pt idx="45">
                  <c:v>0.68542067194310263</c:v>
                </c:pt>
                <c:pt idx="46">
                  <c:v>0.69432998471660312</c:v>
                </c:pt>
                <c:pt idx="47">
                  <c:v>0.70310625377907954</c:v>
                </c:pt>
                <c:pt idx="48">
                  <c:v>0.71174776200101419</c:v>
                </c:pt>
                <c:pt idx="49">
                  <c:v>0.72025288079131755</c:v>
                </c:pt>
                <c:pt idx="50">
                  <c:v>0.72862006976777138</c:v>
                </c:pt>
                <c:pt idx="51">
                  <c:v>0.73684787637263938</c:v>
                </c:pt>
                <c:pt idx="52">
                  <c:v>0.74493493543268841</c:v>
                </c:pt>
                <c:pt idx="53">
                  <c:v>0.75287996866357076</c:v>
                </c:pt>
                <c:pt idx="54">
                  <c:v>0.76068178411815524</c:v>
                </c:pt>
                <c:pt idx="55">
                  <c:v>0.76833927557926529</c:v>
                </c:pt>
                <c:pt idx="56">
                  <c:v>0.77585142189714418</c:v>
                </c:pt>
                <c:pt idx="57">
                  <c:v>0.78321728627188492</c:v>
                </c:pt>
                <c:pt idx="58">
                  <c:v>0.79043601548199405</c:v>
                </c:pt>
                <c:pt idx="59">
                  <c:v>0.79750683905976416</c:v>
                </c:pt>
                <c:pt idx="60">
                  <c:v>0.80442906841432205</c:v>
                </c:pt>
                <c:pt idx="61">
                  <c:v>0.81120209590400805</c:v>
                </c:pt>
                <c:pt idx="62">
                  <c:v>0.81782539385883979</c:v>
                </c:pt>
                <c:pt idx="63">
                  <c:v>0.82429851355482953</c:v>
                </c:pt>
                <c:pt idx="64">
                  <c:v>0.83062108414184621</c:v>
                </c:pt>
                <c:pt idx="65">
                  <c:v>0.83679281152578966</c:v>
                </c:pt>
                <c:pt idx="66">
                  <c:v>0.84281347720815347</c:v>
                </c:pt>
                <c:pt idx="67">
                  <c:v>0.84868293708318987</c:v>
                </c:pt>
                <c:pt idx="68">
                  <c:v>0.85440112019596626</c:v>
                </c:pt>
                <c:pt idx="69">
                  <c:v>0.85996802746220879</c:v>
                </c:pt>
                <c:pt idx="70">
                  <c:v>0.86538373035220673</c:v>
                </c:pt>
                <c:pt idx="71">
                  <c:v>0.87064836954104408</c:v>
                </c:pt>
                <c:pt idx="72">
                  <c:v>0.87576215352669351</c:v>
                </c:pt>
                <c:pt idx="73">
                  <c:v>0.88072535721835976</c:v>
                </c:pt>
                <c:pt idx="74">
                  <c:v>0.88553832049718295</c:v>
                </c:pt>
                <c:pt idx="75">
                  <c:v>0.89020144675096446</c:v>
                </c:pt>
                <c:pt idx="76">
                  <c:v>0.89471520138570781</c:v>
                </c:pt>
                <c:pt idx="77">
                  <c:v>0.89908011031527479</c:v>
                </c:pt>
                <c:pt idx="78">
                  <c:v>0.90329675843201329</c:v>
                </c:pt>
                <c:pt idx="79">
                  <c:v>0.90736578805986312</c:v>
                </c:pt>
                <c:pt idx="80">
                  <c:v>0.91128789739229177</c:v>
                </c:pt>
                <c:pt idx="81">
                  <c:v>0.9150638389170993</c:v>
                </c:pt>
                <c:pt idx="82">
                  <c:v>0.91869441783000383</c:v>
                </c:pt>
                <c:pt idx="83">
                  <c:v>0.92218049043936645</c:v>
                </c:pt>
                <c:pt idx="84">
                  <c:v>0.92552296256313582</c:v>
                </c:pt>
                <c:pt idx="85">
                  <c:v>0.92872278792135887</c:v>
                </c:pt>
                <c:pt idx="86">
                  <c:v>0.93178096652476938</c:v>
                </c:pt>
                <c:pt idx="87">
                  <c:v>0.93469854306219702</c:v>
                </c:pt>
                <c:pt idx="88">
                  <c:v>0.93747660528817534</c:v>
                </c:pt>
                <c:pt idx="89">
                  <c:v>0.94011628241293721</c:v>
                </c:pt>
                <c:pt idx="90">
                  <c:v>0.94261874349588481</c:v>
                </c:pt>
                <c:pt idx="91">
                  <c:v>0.94498519584487184</c:v>
                </c:pt>
                <c:pt idx="92">
                  <c:v>0.94721688342244903</c:v>
                </c:pt>
                <c:pt idx="93">
                  <c:v>0.94931508526099151</c:v>
                </c:pt>
                <c:pt idx="94">
                  <c:v>0.95128111388766001</c:v>
                </c:pt>
                <c:pt idx="95">
                  <c:v>0.95311631376156924</c:v>
                </c:pt>
                <c:pt idx="96">
                  <c:v>0.95482205972336942</c:v>
                </c:pt>
                <c:pt idx="97">
                  <c:v>0.95639975545985578</c:v>
                </c:pt>
                <c:pt idx="98">
                  <c:v>0.95785083198346399</c:v>
                </c:pt>
                <c:pt idx="99">
                  <c:v>0.9591767461294296</c:v>
                </c:pt>
                <c:pt idx="100">
                  <c:v>0.9603789790704127</c:v>
                </c:pt>
                <c:pt idx="101">
                  <c:v>0.96145903485042084</c:v>
                </c:pt>
                <c:pt idx="102">
                  <c:v>0.96241843893868406</c:v>
                </c:pt>
                <c:pt idx="103">
                  <c:v>0.96325873680507357</c:v>
                </c:pt>
                <c:pt idx="104">
                  <c:v>0.96398149251699294</c:v>
                </c:pt>
                <c:pt idx="105">
                  <c:v>0.9645882873595184</c:v>
                </c:pt>
                <c:pt idx="106">
                  <c:v>0.9650807184789727</c:v>
                </c:pt>
                <c:pt idx="107">
                  <c:v>0.96546039755109803</c:v>
                </c:pt>
                <c:pt idx="108">
                  <c:v>0.96572894947391319</c:v>
                </c:pt>
                <c:pt idx="109">
                  <c:v>0.96588801108691769</c:v>
                </c:pt>
                <c:pt idx="110">
                  <c:v>0.96593922991567638</c:v>
                </c:pt>
                <c:pt idx="111">
                  <c:v>0.96588426294388796</c:v>
                </c:pt>
                <c:pt idx="112">
                  <c:v>0.96572477541231194</c:v>
                </c:pt>
                <c:pt idx="113">
                  <c:v>0.96546243964530731</c:v>
                </c:pt>
                <c:pt idx="114">
                  <c:v>0.96509893390536661</c:v>
                </c:pt>
                <c:pt idx="115">
                  <c:v>0.96463594127602903</c:v>
                </c:pt>
                <c:pt idx="116">
                  <c:v>0.9640751485730874</c:v>
                </c:pt>
                <c:pt idx="117">
                  <c:v>0.96341824528457209</c:v>
                </c:pt>
                <c:pt idx="118">
                  <c:v>0.96266692253976771</c:v>
                </c:pt>
                <c:pt idx="119">
                  <c:v>0.96182287210703521</c:v>
                </c:pt>
                <c:pt idx="120">
                  <c:v>0.96088778542060993</c:v>
                </c:pt>
                <c:pt idx="121">
                  <c:v>0.9598633526368161</c:v>
                </c:pt>
                <c:pt idx="122">
                  <c:v>0.95875126171910097</c:v>
                </c:pt>
                <c:pt idx="123">
                  <c:v>0.95755319755218693</c:v>
                </c:pt>
                <c:pt idx="124">
                  <c:v>0.95627084108507177</c:v>
                </c:pt>
                <c:pt idx="125">
                  <c:v>0.9549058685032179</c:v>
                </c:pt>
                <c:pt idx="126">
                  <c:v>0.95345995042893605</c:v>
                </c:pt>
                <c:pt idx="127">
                  <c:v>0.9519347511506453</c:v>
                </c:pt>
                <c:pt idx="128">
                  <c:v>0.95033192788029908</c:v>
                </c:pt>
                <c:pt idx="129">
                  <c:v>0.94865313003913343</c:v>
                </c:pt>
                <c:pt idx="130">
                  <c:v>0.94689999857051532</c:v>
                </c:pt>
                <c:pt idx="131">
                  <c:v>0.9450741652812269</c:v>
                </c:pt>
                <c:pt idx="132">
                  <c:v>0.94317725220936666</c:v>
                </c:pt>
                <c:pt idx="133">
                  <c:v>0.94121087101905232</c:v>
                </c:pt>
                <c:pt idx="134">
                  <c:v>0.93917662242220956</c:v>
                </c:pt>
                <c:pt idx="135">
                  <c:v>0.93707609562579819</c:v>
                </c:pt>
                <c:pt idx="136">
                  <c:v>0.93491086780528576</c:v>
                </c:pt>
                <c:pt idx="137">
                  <c:v>0.9326825036031039</c:v>
                </c:pt>
                <c:pt idx="138">
                  <c:v>0.93039255465244253</c:v>
                </c:pt>
                <c:pt idx="139">
                  <c:v>0.92804255912510314</c:v>
                </c:pt>
                <c:pt idx="140">
                  <c:v>0.92563404130339677</c:v>
                </c:pt>
                <c:pt idx="141">
                  <c:v>0.92316851117598731</c:v>
                </c:pt>
                <c:pt idx="142">
                  <c:v>0.92064746405662845</c:v>
                </c:pt>
                <c:pt idx="143">
                  <c:v>0.9180723802249986</c:v>
                </c:pt>
                <c:pt idx="144">
                  <c:v>0.91544472459085569</c:v>
                </c:pt>
                <c:pt idx="145">
                  <c:v>0.9127659463783715</c:v>
                </c:pt>
                <c:pt idx="146">
                  <c:v>0.91003747883284802</c:v>
                </c:pt>
                <c:pt idx="147">
                  <c:v>0.90726073894731485</c:v>
                </c:pt>
                <c:pt idx="148">
                  <c:v>0.90443712720944802</c:v>
                </c:pt>
                <c:pt idx="149">
                  <c:v>0.90156802736827046</c:v>
                </c:pt>
                <c:pt idx="150">
                  <c:v>0.89865480621958227</c:v>
                </c:pt>
                <c:pt idx="151">
                  <c:v>0.89569881341043356</c:v>
                </c:pt>
                <c:pt idx="152">
                  <c:v>0.89270138126127563</c:v>
                </c:pt>
                <c:pt idx="153">
                  <c:v>0.8896638246057762</c:v>
                </c:pt>
                <c:pt idx="154">
                  <c:v>0.88658744064781558</c:v>
                </c:pt>
                <c:pt idx="155">
                  <c:v>0.88347350883496745</c:v>
                </c:pt>
                <c:pt idx="156">
                  <c:v>0.88032329074783888</c:v>
                </c:pt>
                <c:pt idx="157">
                  <c:v>0.877138030005014</c:v>
                </c:pt>
                <c:pt idx="158">
                  <c:v>0.87391895218323157</c:v>
                </c:pt>
                <c:pt idx="159">
                  <c:v>0.87066726475180189</c:v>
                </c:pt>
                <c:pt idx="160">
                  <c:v>0.86738415702114935</c:v>
                </c:pt>
                <c:pt idx="161">
                  <c:v>0.86407080010502568</c:v>
                </c:pt>
                <c:pt idx="162">
                  <c:v>0.86072834689542788</c:v>
                </c:pt>
                <c:pt idx="163">
                  <c:v>0.85735793205071786</c:v>
                </c:pt>
                <c:pt idx="164">
                  <c:v>0.85396067199536674</c:v>
                </c:pt>
                <c:pt idx="165">
                  <c:v>0.8505376649311529</c:v>
                </c:pt>
                <c:pt idx="166">
                  <c:v>0.84708999086046788</c:v>
                </c:pt>
                <c:pt idx="167">
                  <c:v>0.84361871161962654</c:v>
                </c:pt>
                <c:pt idx="168">
                  <c:v>0.84012487092229549</c:v>
                </c:pt>
                <c:pt idx="169">
                  <c:v>0.83660949441392063</c:v>
                </c:pt>
                <c:pt idx="170">
                  <c:v>0.83307358973416967</c:v>
                </c:pt>
                <c:pt idx="171">
                  <c:v>0.82951814658974854</c:v>
                </c:pt>
                <c:pt idx="172">
                  <c:v>0.82594413683489165</c:v>
                </c:pt>
                <c:pt idx="173">
                  <c:v>0.82235251456054925</c:v>
                </c:pt>
                <c:pt idx="174">
                  <c:v>0.81874421619147597</c:v>
                </c:pt>
                <c:pt idx="175">
                  <c:v>0.81512016059025427</c:v>
                </c:pt>
                <c:pt idx="176">
                  <c:v>0.81148124916938968</c:v>
                </c:pt>
                <c:pt idx="177">
                  <c:v>0.8078283660091472</c:v>
                </c:pt>
                <c:pt idx="178">
                  <c:v>0.80416237798200996</c:v>
                </c:pt>
                <c:pt idx="179">
                  <c:v>0.80048413488390224</c:v>
                </c:pt>
                <c:pt idx="180">
                  <c:v>0.79679446957004529</c:v>
                </c:pt>
                <c:pt idx="181">
                  <c:v>0.79309419809669635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C4-4AA0-9F64-6073114FE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089360"/>
        <c:axId val="500090344"/>
      </c:scatterChart>
      <c:valAx>
        <c:axId val="500089360"/>
        <c:scaling>
          <c:orientation val="minMax"/>
          <c:max val="145"/>
          <c:min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90344"/>
        <c:crosses val="autoZero"/>
        <c:crossBetween val="midCat"/>
      </c:valAx>
      <c:valAx>
        <c:axId val="500090344"/>
        <c:scaling>
          <c:orientation val="minMax"/>
          <c:min val="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89360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Daily Feed Intake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'E-Barrows'!$I$1</c:f>
              <c:strCache>
                <c:ptCount val="1"/>
                <c:pt idx="0">
                  <c:v>Barrows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Инструкция!BarrowsBW2</c:f>
            </c:numRef>
          </c:xVal>
          <c:yVal>
            <c:numRef>
              <c:f>Инструкция!BarrowsADFI2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E68-4A32-A012-88D366B2ABD4}"/>
            </c:ext>
          </c:extLst>
        </c:ser>
        <c:ser>
          <c:idx val="2"/>
          <c:order val="1"/>
          <c:tx>
            <c:strRef>
              <c:f>'E-Mixed'!$I$1</c:f>
              <c:strCache>
                <c:ptCount val="1"/>
                <c:pt idx="0">
                  <c:v>Mixed Gender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Инструкция!MixedBW2</c:f>
            </c:numRef>
          </c:xVal>
          <c:yVal>
            <c:numRef>
              <c:f>Инструкция!MixedADFI2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E68-4A32-A012-88D366B2ABD4}"/>
            </c:ext>
          </c:extLst>
        </c:ser>
        <c:ser>
          <c:idx val="3"/>
          <c:order val="2"/>
          <c:tx>
            <c:strRef>
              <c:f>'E-Gilts'!$I$1</c:f>
              <c:strCache>
                <c:ptCount val="1"/>
                <c:pt idx="0">
                  <c:v>Gilts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Инструкция!GiltsBW2</c:f>
            </c:numRef>
          </c:xVal>
          <c:yVal>
            <c:numRef>
              <c:f>Инструкция!GiltsADFI2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E68-4A32-A012-88D366B2A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98704"/>
        <c:axId val="323399032"/>
      </c:scatterChart>
      <c:valAx>
        <c:axId val="32339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Body weight,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9032"/>
        <c:crosses val="autoZero"/>
        <c:crossBetween val="midCat"/>
      </c:valAx>
      <c:valAx>
        <c:axId val="32339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kg/day</a:t>
                </a:r>
              </a:p>
            </c:rich>
          </c:tx>
          <c:layout>
            <c:manualLayout>
              <c:xMode val="edge"/>
              <c:yMode val="edge"/>
              <c:x val="0"/>
              <c:y val="0.433901831529867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953457052449273"/>
          <c:y val="5.5693790306714432E-2"/>
          <c:w val="0.39798875537733425"/>
          <c:h val="4.6413479906749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Average Daily Gain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'E-Barrows'!$I$1</c:f>
              <c:strCache>
                <c:ptCount val="1"/>
                <c:pt idx="0">
                  <c:v>Barrows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Инструкция!BarrowsBW2</c:f>
            </c:numRef>
          </c:xVal>
          <c:yVal>
            <c:numRef>
              <c:f>Инструкция!BarrowsADG2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5C7-4A0D-843E-A7E336B61472}"/>
            </c:ext>
          </c:extLst>
        </c:ser>
        <c:ser>
          <c:idx val="2"/>
          <c:order val="1"/>
          <c:tx>
            <c:strRef>
              <c:f>'E-Mixed'!$I$1</c:f>
              <c:strCache>
                <c:ptCount val="1"/>
                <c:pt idx="0">
                  <c:v>Mixed Gender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Инструкция!MixedBW2</c:f>
            </c:numRef>
          </c:xVal>
          <c:yVal>
            <c:numRef>
              <c:f>Инструкция!MixedADG2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5C7-4A0D-843E-A7E336B61472}"/>
            </c:ext>
          </c:extLst>
        </c:ser>
        <c:ser>
          <c:idx val="3"/>
          <c:order val="2"/>
          <c:tx>
            <c:strRef>
              <c:f>'E-Gilts'!$I$1</c:f>
              <c:strCache>
                <c:ptCount val="1"/>
                <c:pt idx="0">
                  <c:v>Gilts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Инструкция!GiltsBW2</c:f>
            </c:numRef>
          </c:xVal>
          <c:yVal>
            <c:numRef>
              <c:f>Инструкция!GiltsADG2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5C7-4A0D-843E-A7E336B61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98704"/>
        <c:axId val="323399032"/>
      </c:scatterChart>
      <c:valAx>
        <c:axId val="32339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Body weight,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9032"/>
        <c:crosses val="autoZero"/>
        <c:crossBetween val="midCat"/>
      </c:valAx>
      <c:valAx>
        <c:axId val="32339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g/day</a:t>
                </a:r>
              </a:p>
            </c:rich>
          </c:tx>
          <c:layout>
            <c:manualLayout>
              <c:xMode val="edge"/>
              <c:yMode val="edge"/>
              <c:x val="2.3536334215945864E-3"/>
              <c:y val="0.43792768917251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100566525440559"/>
          <c:y val="6.1305434670611565E-2"/>
          <c:w val="0.39798875537733425"/>
          <c:h val="4.6413479906749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Feed efficiency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'E-Barrows'!$I$1</c:f>
              <c:strCache>
                <c:ptCount val="1"/>
                <c:pt idx="0">
                  <c:v>Barrows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Инструкция!BarrowsBW2</c:f>
            </c:numRef>
          </c:xVal>
          <c:yVal>
            <c:numRef>
              <c:f>Инструкция!BarrowsFG2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4B0-4FC7-B9CD-08F5AC147BF2}"/>
            </c:ext>
          </c:extLst>
        </c:ser>
        <c:ser>
          <c:idx val="2"/>
          <c:order val="1"/>
          <c:tx>
            <c:strRef>
              <c:f>'E-Mixed'!$I$1</c:f>
              <c:strCache>
                <c:ptCount val="1"/>
                <c:pt idx="0">
                  <c:v>Mixed Gender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Инструкция!MixedBW2</c:f>
            </c:numRef>
          </c:xVal>
          <c:yVal>
            <c:numRef>
              <c:f>Инструкция!MixedFG2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4B0-4FC7-B9CD-08F5AC147BF2}"/>
            </c:ext>
          </c:extLst>
        </c:ser>
        <c:ser>
          <c:idx val="3"/>
          <c:order val="2"/>
          <c:tx>
            <c:strRef>
              <c:f>'E-Gilts'!$I$1</c:f>
              <c:strCache>
                <c:ptCount val="1"/>
                <c:pt idx="0">
                  <c:v>Gilts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Инструкция!GiltsBW2</c:f>
            </c:numRef>
          </c:xVal>
          <c:yVal>
            <c:numRef>
              <c:f>Инструкция!GiltsFG2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4B0-4FC7-B9CD-08F5AC147B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98704"/>
        <c:axId val="323399032"/>
      </c:scatterChart>
      <c:valAx>
        <c:axId val="32339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Body weight,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9032"/>
        <c:crosses val="autoZero"/>
        <c:crossBetween val="midCat"/>
      </c:valAx>
      <c:valAx>
        <c:axId val="32339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F/G</a:t>
                </a:r>
              </a:p>
            </c:rich>
          </c:tx>
          <c:layout>
            <c:manualLayout>
              <c:xMode val="edge"/>
              <c:yMode val="edge"/>
              <c:x val="2.3536334215945864E-3"/>
              <c:y val="0.437927689172510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100566525440559"/>
          <c:y val="6.1305434670611565E-2"/>
          <c:w val="0.39798875537733425"/>
          <c:h val="4.6413479906749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Nursery!$B$1</c:f>
              <c:strCache>
                <c:ptCount val="1"/>
                <c:pt idx="0">
                  <c:v>Weight, kg</c:v>
                </c:pt>
              </c:strCache>
            </c:strRef>
          </c:tx>
          <c:marker>
            <c:symbol val="none"/>
          </c:marker>
          <c:xVal>
            <c:numRef>
              <c:f>Nursery!$A$2:$A$184</c:f>
              <c:numCache>
                <c:formatCode>General</c:formatCode>
                <c:ptCount val="18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54</c:v>
                </c:pt>
                <c:pt idx="37">
                  <c:v>55</c:v>
                </c:pt>
                <c:pt idx="38">
                  <c:v>56</c:v>
                </c:pt>
                <c:pt idx="39">
                  <c:v>57</c:v>
                </c:pt>
                <c:pt idx="40">
                  <c:v>58</c:v>
                </c:pt>
                <c:pt idx="41">
                  <c:v>59</c:v>
                </c:pt>
                <c:pt idx="42">
                  <c:v>60</c:v>
                </c:pt>
                <c:pt idx="43">
                  <c:v>61</c:v>
                </c:pt>
                <c:pt idx="44">
                  <c:v>62</c:v>
                </c:pt>
                <c:pt idx="45">
                  <c:v>63</c:v>
                </c:pt>
                <c:pt idx="46">
                  <c:v>64</c:v>
                </c:pt>
                <c:pt idx="47">
                  <c:v>65</c:v>
                </c:pt>
                <c:pt idx="48">
                  <c:v>66</c:v>
                </c:pt>
                <c:pt idx="49">
                  <c:v>67</c:v>
                </c:pt>
                <c:pt idx="50">
                  <c:v>68</c:v>
                </c:pt>
                <c:pt idx="51">
                  <c:v>69</c:v>
                </c:pt>
                <c:pt idx="52">
                  <c:v>70</c:v>
                </c:pt>
                <c:pt idx="53">
                  <c:v>71</c:v>
                </c:pt>
                <c:pt idx="54">
                  <c:v>72</c:v>
                </c:pt>
                <c:pt idx="55">
                  <c:v>73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77</c:v>
                </c:pt>
                <c:pt idx="60">
                  <c:v>78</c:v>
                </c:pt>
                <c:pt idx="61">
                  <c:v>79</c:v>
                </c:pt>
                <c:pt idx="62">
                  <c:v>80</c:v>
                </c:pt>
                <c:pt idx="63">
                  <c:v>81</c:v>
                </c:pt>
                <c:pt idx="64">
                  <c:v>82</c:v>
                </c:pt>
                <c:pt idx="65">
                  <c:v>83</c:v>
                </c:pt>
                <c:pt idx="66">
                  <c:v>84</c:v>
                </c:pt>
                <c:pt idx="67">
                  <c:v>85</c:v>
                </c:pt>
                <c:pt idx="68">
                  <c:v>86</c:v>
                </c:pt>
                <c:pt idx="69">
                  <c:v>87</c:v>
                </c:pt>
                <c:pt idx="70">
                  <c:v>88</c:v>
                </c:pt>
                <c:pt idx="71">
                  <c:v>89</c:v>
                </c:pt>
                <c:pt idx="72">
                  <c:v>90</c:v>
                </c:pt>
                <c:pt idx="73">
                  <c:v>91</c:v>
                </c:pt>
                <c:pt idx="74">
                  <c:v>92</c:v>
                </c:pt>
                <c:pt idx="75">
                  <c:v>93</c:v>
                </c:pt>
                <c:pt idx="76">
                  <c:v>94</c:v>
                </c:pt>
                <c:pt idx="77">
                  <c:v>95</c:v>
                </c:pt>
                <c:pt idx="78">
                  <c:v>96</c:v>
                </c:pt>
                <c:pt idx="79">
                  <c:v>97</c:v>
                </c:pt>
                <c:pt idx="80">
                  <c:v>98</c:v>
                </c:pt>
                <c:pt idx="81">
                  <c:v>99</c:v>
                </c:pt>
                <c:pt idx="82">
                  <c:v>100</c:v>
                </c:pt>
                <c:pt idx="83">
                  <c:v>101</c:v>
                </c:pt>
                <c:pt idx="84">
                  <c:v>102</c:v>
                </c:pt>
                <c:pt idx="85">
                  <c:v>103</c:v>
                </c:pt>
                <c:pt idx="86">
                  <c:v>104</c:v>
                </c:pt>
                <c:pt idx="87">
                  <c:v>105</c:v>
                </c:pt>
                <c:pt idx="88">
                  <c:v>106</c:v>
                </c:pt>
                <c:pt idx="89">
                  <c:v>107</c:v>
                </c:pt>
                <c:pt idx="90">
                  <c:v>108</c:v>
                </c:pt>
                <c:pt idx="91">
                  <c:v>109</c:v>
                </c:pt>
                <c:pt idx="92">
                  <c:v>110</c:v>
                </c:pt>
                <c:pt idx="93">
                  <c:v>111</c:v>
                </c:pt>
                <c:pt idx="94">
                  <c:v>112</c:v>
                </c:pt>
                <c:pt idx="95">
                  <c:v>113</c:v>
                </c:pt>
                <c:pt idx="96">
                  <c:v>114</c:v>
                </c:pt>
                <c:pt idx="97">
                  <c:v>115</c:v>
                </c:pt>
                <c:pt idx="98">
                  <c:v>116</c:v>
                </c:pt>
                <c:pt idx="99">
                  <c:v>117</c:v>
                </c:pt>
                <c:pt idx="100">
                  <c:v>118</c:v>
                </c:pt>
                <c:pt idx="101">
                  <c:v>119</c:v>
                </c:pt>
                <c:pt idx="102">
                  <c:v>120</c:v>
                </c:pt>
                <c:pt idx="103">
                  <c:v>121</c:v>
                </c:pt>
                <c:pt idx="104">
                  <c:v>122</c:v>
                </c:pt>
                <c:pt idx="105">
                  <c:v>123</c:v>
                </c:pt>
                <c:pt idx="106">
                  <c:v>124</c:v>
                </c:pt>
                <c:pt idx="107">
                  <c:v>125</c:v>
                </c:pt>
                <c:pt idx="108">
                  <c:v>126</c:v>
                </c:pt>
                <c:pt idx="109">
                  <c:v>127</c:v>
                </c:pt>
                <c:pt idx="110">
                  <c:v>128</c:v>
                </c:pt>
                <c:pt idx="111">
                  <c:v>129</c:v>
                </c:pt>
                <c:pt idx="112">
                  <c:v>130</c:v>
                </c:pt>
                <c:pt idx="113">
                  <c:v>131</c:v>
                </c:pt>
                <c:pt idx="114">
                  <c:v>132</c:v>
                </c:pt>
                <c:pt idx="115">
                  <c:v>133</c:v>
                </c:pt>
                <c:pt idx="116">
                  <c:v>134</c:v>
                </c:pt>
                <c:pt idx="117">
                  <c:v>135</c:v>
                </c:pt>
                <c:pt idx="118">
                  <c:v>136</c:v>
                </c:pt>
                <c:pt idx="119">
                  <c:v>137</c:v>
                </c:pt>
                <c:pt idx="120">
                  <c:v>138</c:v>
                </c:pt>
                <c:pt idx="121">
                  <c:v>139</c:v>
                </c:pt>
                <c:pt idx="122">
                  <c:v>140</c:v>
                </c:pt>
                <c:pt idx="123">
                  <c:v>141</c:v>
                </c:pt>
                <c:pt idx="124">
                  <c:v>142</c:v>
                </c:pt>
                <c:pt idx="125">
                  <c:v>143</c:v>
                </c:pt>
                <c:pt idx="126">
                  <c:v>144</c:v>
                </c:pt>
                <c:pt idx="127">
                  <c:v>145</c:v>
                </c:pt>
                <c:pt idx="128">
                  <c:v>146</c:v>
                </c:pt>
                <c:pt idx="129">
                  <c:v>147</c:v>
                </c:pt>
                <c:pt idx="130">
                  <c:v>148</c:v>
                </c:pt>
                <c:pt idx="131">
                  <c:v>149</c:v>
                </c:pt>
                <c:pt idx="132">
                  <c:v>150</c:v>
                </c:pt>
                <c:pt idx="133">
                  <c:v>151</c:v>
                </c:pt>
                <c:pt idx="134">
                  <c:v>152</c:v>
                </c:pt>
                <c:pt idx="135">
                  <c:v>153</c:v>
                </c:pt>
                <c:pt idx="136">
                  <c:v>154</c:v>
                </c:pt>
                <c:pt idx="137">
                  <c:v>155</c:v>
                </c:pt>
                <c:pt idx="138">
                  <c:v>156</c:v>
                </c:pt>
                <c:pt idx="139">
                  <c:v>157</c:v>
                </c:pt>
                <c:pt idx="140">
                  <c:v>158</c:v>
                </c:pt>
                <c:pt idx="141">
                  <c:v>159</c:v>
                </c:pt>
                <c:pt idx="142">
                  <c:v>160</c:v>
                </c:pt>
                <c:pt idx="143">
                  <c:v>161</c:v>
                </c:pt>
                <c:pt idx="144">
                  <c:v>162</c:v>
                </c:pt>
                <c:pt idx="145">
                  <c:v>163</c:v>
                </c:pt>
                <c:pt idx="146">
                  <c:v>164</c:v>
                </c:pt>
                <c:pt idx="147">
                  <c:v>165</c:v>
                </c:pt>
                <c:pt idx="148">
                  <c:v>166</c:v>
                </c:pt>
                <c:pt idx="149">
                  <c:v>167</c:v>
                </c:pt>
                <c:pt idx="150">
                  <c:v>168</c:v>
                </c:pt>
                <c:pt idx="151">
                  <c:v>169</c:v>
                </c:pt>
                <c:pt idx="152">
                  <c:v>170</c:v>
                </c:pt>
                <c:pt idx="153">
                  <c:v>171</c:v>
                </c:pt>
                <c:pt idx="154">
                  <c:v>172</c:v>
                </c:pt>
                <c:pt idx="155">
                  <c:v>173</c:v>
                </c:pt>
                <c:pt idx="156">
                  <c:v>174</c:v>
                </c:pt>
                <c:pt idx="157">
                  <c:v>175</c:v>
                </c:pt>
                <c:pt idx="158">
                  <c:v>176</c:v>
                </c:pt>
                <c:pt idx="159">
                  <c:v>177</c:v>
                </c:pt>
                <c:pt idx="160">
                  <c:v>178</c:v>
                </c:pt>
                <c:pt idx="161">
                  <c:v>179</c:v>
                </c:pt>
                <c:pt idx="162">
                  <c:v>180</c:v>
                </c:pt>
                <c:pt idx="163">
                  <c:v>181</c:v>
                </c:pt>
                <c:pt idx="164">
                  <c:v>182</c:v>
                </c:pt>
                <c:pt idx="165">
                  <c:v>183</c:v>
                </c:pt>
                <c:pt idx="166">
                  <c:v>184</c:v>
                </c:pt>
                <c:pt idx="167">
                  <c:v>185</c:v>
                </c:pt>
                <c:pt idx="168">
                  <c:v>186</c:v>
                </c:pt>
                <c:pt idx="169">
                  <c:v>187</c:v>
                </c:pt>
                <c:pt idx="170">
                  <c:v>188</c:v>
                </c:pt>
                <c:pt idx="171">
                  <c:v>189</c:v>
                </c:pt>
                <c:pt idx="172">
                  <c:v>190</c:v>
                </c:pt>
                <c:pt idx="173">
                  <c:v>191</c:v>
                </c:pt>
                <c:pt idx="174">
                  <c:v>192</c:v>
                </c:pt>
                <c:pt idx="175">
                  <c:v>193</c:v>
                </c:pt>
                <c:pt idx="176">
                  <c:v>194</c:v>
                </c:pt>
                <c:pt idx="177">
                  <c:v>195</c:v>
                </c:pt>
                <c:pt idx="178">
                  <c:v>196</c:v>
                </c:pt>
                <c:pt idx="179">
                  <c:v>197</c:v>
                </c:pt>
                <c:pt idx="180">
                  <c:v>198</c:v>
                </c:pt>
                <c:pt idx="181">
                  <c:v>199</c:v>
                </c:pt>
                <c:pt idx="182">
                  <c:v>200</c:v>
                </c:pt>
              </c:numCache>
            </c:numRef>
          </c:xVal>
          <c:yVal>
            <c:numRef>
              <c:f>Nursery!$B$2:$B$184</c:f>
              <c:numCache>
                <c:formatCode>0.00</c:formatCode>
                <c:ptCount val="183"/>
                <c:pt idx="0">
                  <c:v>5.65</c:v>
                </c:pt>
                <c:pt idx="1">
                  <c:v>5.6560000000000006</c:v>
                </c:pt>
                <c:pt idx="2">
                  <c:v>5.6871038663317339</c:v>
                </c:pt>
                <c:pt idx="3">
                  <c:v>5.7418524808334492</c:v>
                </c:pt>
                <c:pt idx="4">
                  <c:v>5.8200064682290211</c:v>
                </c:pt>
                <c:pt idx="5">
                  <c:v>5.9210215175209182</c:v>
                </c:pt>
                <c:pt idx="6">
                  <c:v>6.0443533177116082</c:v>
                </c:pt>
                <c:pt idx="7">
                  <c:v>6.1894575578035607</c:v>
                </c:pt>
                <c:pt idx="8">
                  <c:v>6.3557899267992433</c:v>
                </c:pt>
                <c:pt idx="9">
                  <c:v>6.5428061137011246</c:v>
                </c:pt>
                <c:pt idx="10">
                  <c:v>6.7499618075116734</c:v>
                </c:pt>
                <c:pt idx="11">
                  <c:v>6.9767126972333582</c:v>
                </c:pt>
                <c:pt idx="12">
                  <c:v>7.2225144718686467</c:v>
                </c:pt>
                <c:pt idx="13">
                  <c:v>7.4868228204200085</c:v>
                </c:pt>
                <c:pt idx="14">
                  <c:v>7.7690934318899121</c:v>
                </c:pt>
                <c:pt idx="15">
                  <c:v>8.0687819952808244</c:v>
                </c:pt>
                <c:pt idx="16">
                  <c:v>8.3853441995952149</c:v>
                </c:pt>
                <c:pt idx="17">
                  <c:v>8.7182357338355523</c:v>
                </c:pt>
                <c:pt idx="18">
                  <c:v>9.0669122870043033</c:v>
                </c:pt>
                <c:pt idx="19">
                  <c:v>9.4308295481039384</c:v>
                </c:pt>
                <c:pt idx="20">
                  <c:v>9.8094432061369261</c:v>
                </c:pt>
                <c:pt idx="21">
                  <c:v>10.202208950105733</c:v>
                </c:pt>
                <c:pt idx="22">
                  <c:v>10.608582469012829</c:v>
                </c:pt>
                <c:pt idx="23">
                  <c:v>11.028019451860683</c:v>
                </c:pt>
                <c:pt idx="24">
                  <c:v>11.459975587651762</c:v>
                </c:pt>
                <c:pt idx="25">
                  <c:v>11.90160394586934</c:v>
                </c:pt>
                <c:pt idx="26">
                  <c:v>12.353121103797351</c:v>
                </c:pt>
                <c:pt idx="27">
                  <c:v>12.814748488248393</c:v>
                </c:pt>
                <c:pt idx="28">
                  <c:v>13.286712484152808</c:v>
                </c:pt>
                <c:pt idx="29">
                  <c:v>13.769244545579264</c:v>
                </c:pt>
                <c:pt idx="30">
                  <c:v>14.262581309241252</c:v>
                </c:pt>
                <c:pt idx="31">
                  <c:v>14.766964710545206</c:v>
                </c:pt>
                <c:pt idx="32">
                  <c:v>15.282642102237125</c:v>
                </c:pt>
                <c:pt idx="33">
                  <c:v>15.809866375705884</c:v>
                </c:pt>
                <c:pt idx="34">
                  <c:v>16.348896085002753</c:v>
                </c:pt>
                <c:pt idx="35">
                  <c:v>16.899995573637892</c:v>
                </c:pt>
                <c:pt idx="36">
                  <c:v>17.463435104216057</c:v>
                </c:pt>
                <c:pt idx="37">
                  <c:v>18.03949099097505</c:v>
                </c:pt>
                <c:pt idx="38">
                  <c:v>18.628445735291937</c:v>
                </c:pt>
                <c:pt idx="39">
                  <c:v>19.230588164223473</c:v>
                </c:pt>
                <c:pt idx="40">
                  <c:v>19.846213572148681</c:v>
                </c:pt>
                <c:pt idx="41">
                  <c:v>20.475623865583042</c:v>
                </c:pt>
                <c:pt idx="42">
                  <c:v>21.118767245594924</c:v>
                </c:pt>
                <c:pt idx="43">
                  <c:v>21.776680221739266</c:v>
                </c:pt>
                <c:pt idx="44">
                  <c:v>22.443890449812482</c:v>
                </c:pt>
                <c:pt idx="45">
                  <c:v>23.120270571214487</c:v>
                </c:pt>
                <c:pt idx="46">
                  <c:v>23.80569124315759</c:v>
                </c:pt>
                <c:pt idx="47">
                  <c:v>24.500021227874193</c:v>
                </c:pt>
                <c:pt idx="48">
                  <c:v>25.203127481653272</c:v>
                </c:pt>
                <c:pt idx="49">
                  <c:v>25.914875243654286</c:v>
                </c:pt>
                <c:pt idx="50">
                  <c:v>26.635128124445604</c:v>
                </c:pt>
                <c:pt idx="51">
                  <c:v>27.363748194213375</c:v>
                </c:pt>
                <c:pt idx="52">
                  <c:v>28.100596070586015</c:v>
                </c:pt>
                <c:pt idx="53">
                  <c:v>28.845531006018703</c:v>
                </c:pt>
                <c:pt idx="54">
                  <c:v>29.598410974682274</c:v>
                </c:pt>
                <c:pt idx="55">
                  <c:v>30.359092758800429</c:v>
                </c:pt>
                <c:pt idx="56">
                  <c:v>31.127432034379694</c:v>
                </c:pt>
                <c:pt idx="57">
                  <c:v>31.903283456276839</c:v>
                </c:pt>
                <c:pt idx="58">
                  <c:v>32.686500742548724</c:v>
                </c:pt>
                <c:pt idx="59">
                  <c:v>33.476936758030718</c:v>
                </c:pt>
                <c:pt idx="60">
                  <c:v>34.274443597090482</c:v>
                </c:pt>
                <c:pt idx="61">
                  <c:v>35.078872665504804</c:v>
                </c:pt>
                <c:pt idx="62">
                  <c:v>35.890074761408812</c:v>
                </c:pt>
                <c:pt idx="63">
                  <c:v>36.707900155267652</c:v>
                </c:pt>
                <c:pt idx="64">
                  <c:v>37.532198668822481</c:v>
                </c:pt>
                <c:pt idx="65">
                  <c:v>38.362819752964327</c:v>
                </c:pt>
                <c:pt idx="66">
                  <c:v>39.199612564490117</c:v>
                </c:pt>
                <c:pt idx="67">
                  <c:v>40.04242604169827</c:v>
                </c:pt>
                <c:pt idx="68">
                  <c:v>40.89110897878146</c:v>
                </c:pt>
                <c:pt idx="69">
                  <c:v>41.745510098977427</c:v>
                </c:pt>
                <c:pt idx="70">
                  <c:v>42.605478126439635</c:v>
                </c:pt>
                <c:pt idx="71">
                  <c:v>43.470861856791842</c:v>
                </c:pt>
                <c:pt idx="72">
                  <c:v>44.341510226332886</c:v>
                </c:pt>
                <c:pt idx="73">
                  <c:v>45.21727237985958</c:v>
                </c:pt>
                <c:pt idx="74">
                  <c:v>46.097997737077939</c:v>
                </c:pt>
                <c:pt idx="75">
                  <c:v>46.983536057575122</c:v>
                </c:pt>
                <c:pt idx="76">
                  <c:v>47.873737504326087</c:v>
                </c:pt>
                <c:pt idx="77">
                  <c:v>48.768452705711795</c:v>
                </c:pt>
                <c:pt idx="78">
                  <c:v>49.667532816027069</c:v>
                </c:pt>
                <c:pt idx="79">
                  <c:v>50.570829574459083</c:v>
                </c:pt>
                <c:pt idx="80">
                  <c:v>51.478195362518946</c:v>
                </c:pt>
                <c:pt idx="81">
                  <c:v>52.389483259911238</c:v>
                </c:pt>
                <c:pt idx="82">
                  <c:v>53.304547098828337</c:v>
                </c:pt>
                <c:pt idx="83">
                  <c:v>54.223241516658341</c:v>
                </c:pt>
                <c:pt idx="84">
                  <c:v>55.145422007097707</c:v>
                </c:pt>
                <c:pt idx="85">
                  <c:v>56.070944969660843</c:v>
                </c:pt>
                <c:pt idx="86">
                  <c:v>56.999667757582202</c:v>
                </c:pt>
                <c:pt idx="87">
                  <c:v>57.931448724106971</c:v>
                </c:pt>
                <c:pt idx="88">
                  <c:v>58.866147267169168</c:v>
                </c:pt>
                <c:pt idx="89">
                  <c:v>59.803623872457344</c:v>
                </c:pt>
                <c:pt idx="90">
                  <c:v>60.743740154870281</c:v>
                </c:pt>
                <c:pt idx="91">
                  <c:v>61.686358898366166</c:v>
                </c:pt>
                <c:pt idx="92">
                  <c:v>62.631344094211038</c:v>
                </c:pt>
                <c:pt idx="93">
                  <c:v>63.578560977633487</c:v>
                </c:pt>
                <c:pt idx="94">
                  <c:v>64.527876062894478</c:v>
                </c:pt>
                <c:pt idx="95">
                  <c:v>65.479157176782138</c:v>
                </c:pt>
                <c:pt idx="96">
                  <c:v>66.432273490543707</c:v>
                </c:pt>
                <c:pt idx="97">
                  <c:v>67.387095550267077</c:v>
                </c:pt>
                <c:pt idx="98">
                  <c:v>68.343495305726933</c:v>
                </c:pt>
                <c:pt idx="99">
                  <c:v>69.301346137710397</c:v>
                </c:pt>
                <c:pt idx="100">
                  <c:v>70.260522883839826</c:v>
                </c:pt>
                <c:pt idx="101">
                  <c:v>71.220901862910239</c:v>
                </c:pt>
                <c:pt idx="102">
                  <c:v>72.18236089776066</c:v>
                </c:pt>
                <c:pt idx="103">
                  <c:v>73.144779336699344</c:v>
                </c:pt>
                <c:pt idx="104">
                  <c:v>74.108038073504417</c:v>
                </c:pt>
                <c:pt idx="105">
                  <c:v>75.07201956602141</c:v>
                </c:pt>
                <c:pt idx="106">
                  <c:v>76.036607853380929</c:v>
                </c:pt>
                <c:pt idx="107">
                  <c:v>77.001688571859901</c:v>
                </c:pt>
                <c:pt idx="108">
                  <c:v>77.967148969410999</c:v>
                </c:pt>
                <c:pt idx="109">
                  <c:v>78.932877918884913</c:v>
                </c:pt>
                <c:pt idx="110">
                  <c:v>79.89876592997183</c:v>
                </c:pt>
                <c:pt idx="111">
                  <c:v>80.864705159887507</c:v>
                </c:pt>
                <c:pt idx="112">
                  <c:v>81.830589422831395</c:v>
                </c:pt>
                <c:pt idx="113">
                  <c:v>82.796314198243707</c:v>
                </c:pt>
                <c:pt idx="114">
                  <c:v>83.761776637889014</c:v>
                </c:pt>
                <c:pt idx="115">
                  <c:v>84.72687557179438</c:v>
                </c:pt>
                <c:pt idx="116">
                  <c:v>85.691511513070409</c:v>
                </c:pt>
                <c:pt idx="117">
                  <c:v>86.655586661643497</c:v>
                </c:pt>
                <c:pt idx="118">
                  <c:v>87.619004906928069</c:v>
                </c:pt>
                <c:pt idx="119">
                  <c:v>88.581671829467837</c:v>
                </c:pt>
                <c:pt idx="120">
                  <c:v>89.543494701574872</c:v>
                </c:pt>
                <c:pt idx="121">
                  <c:v>90.504382486995482</c:v>
                </c:pt>
                <c:pt idx="122">
                  <c:v>91.464245839632298</c:v>
                </c:pt>
                <c:pt idx="123">
                  <c:v>92.422997101351399</c:v>
                </c:pt>
                <c:pt idx="124">
                  <c:v>93.380550298903586</c:v>
                </c:pt>
                <c:pt idx="125">
                  <c:v>94.336821139988658</c:v>
                </c:pt>
                <c:pt idx="126">
                  <c:v>95.291727008491875</c:v>
                </c:pt>
                <c:pt idx="127">
                  <c:v>96.245186958920812</c:v>
                </c:pt>
                <c:pt idx="128">
                  <c:v>97.197121710071457</c:v>
                </c:pt>
                <c:pt idx="129">
                  <c:v>98.147453637951756</c:v>
                </c:pt>
                <c:pt idx="130">
                  <c:v>99.096106767990889</c:v>
                </c:pt>
                <c:pt idx="131">
                  <c:v>100.0430067665614</c:v>
                </c:pt>
                <c:pt idx="132">
                  <c:v>100.98808093184263</c:v>
                </c:pt>
                <c:pt idx="133">
                  <c:v>101.931258184052</c:v>
                </c:pt>
                <c:pt idx="134">
                  <c:v>102.87246905507105</c:v>
                </c:pt>
                <c:pt idx="135">
                  <c:v>103.81164567749326</c:v>
                </c:pt>
                <c:pt idx="136">
                  <c:v>104.74872177311906</c:v>
                </c:pt>
                <c:pt idx="137">
                  <c:v>105.68363264092434</c:v>
                </c:pt>
                <c:pt idx="138">
                  <c:v>106.61631514452745</c:v>
                </c:pt>
                <c:pt idx="139">
                  <c:v>107.54670769917989</c:v>
                </c:pt>
                <c:pt idx="140">
                  <c:v>108.47475025830499</c:v>
                </c:pt>
                <c:pt idx="141">
                  <c:v>109.40038429960839</c:v>
                </c:pt>
                <c:pt idx="142">
                  <c:v>110.32355281078438</c:v>
                </c:pt>
                <c:pt idx="143">
                  <c:v>111.24420027484101</c:v>
                </c:pt>
                <c:pt idx="144">
                  <c:v>112.162272655066</c:v>
                </c:pt>
                <c:pt idx="145">
                  <c:v>113.07771737965686</c:v>
                </c:pt>
                <c:pt idx="146">
                  <c:v>113.99048332603523</c:v>
                </c:pt>
                <c:pt idx="147">
                  <c:v>114.90052080486808</c:v>
                </c:pt>
                <c:pt idx="148">
                  <c:v>115.80778154381539</c:v>
                </c:pt>
                <c:pt idx="149">
                  <c:v>116.71221867102484</c:v>
                </c:pt>
                <c:pt idx="150">
                  <c:v>117.61378669839311</c:v>
                </c:pt>
                <c:pt idx="151">
                  <c:v>118.5124415046127</c:v>
                </c:pt>
                <c:pt idx="152">
                  <c:v>119.40814031802313</c:v>
                </c:pt>
                <c:pt idx="153">
                  <c:v>120.3008416992844</c:v>
                </c:pt>
                <c:pt idx="154">
                  <c:v>121.19050552389018</c:v>
                </c:pt>
                <c:pt idx="155">
                  <c:v>122.077092964538</c:v>
                </c:pt>
                <c:pt idx="156">
                  <c:v>122.96056647337296</c:v>
                </c:pt>
                <c:pt idx="157">
                  <c:v>123.8408897641208</c:v>
                </c:pt>
                <c:pt idx="158">
                  <c:v>124.71802779412582</c:v>
                </c:pt>
                <c:pt idx="159">
                  <c:v>125.59194674630905</c:v>
                </c:pt>
                <c:pt idx="160">
                  <c:v>126.46261401106085</c:v>
                </c:pt>
                <c:pt idx="161">
                  <c:v>127.329998168082</c:v>
                </c:pt>
                <c:pt idx="162">
                  <c:v>128.19406896818703</c:v>
                </c:pt>
                <c:pt idx="163">
                  <c:v>129.05479731508245</c:v>
                </c:pt>
                <c:pt idx="164">
                  <c:v>129.91215524713317</c:v>
                </c:pt>
                <c:pt idx="165">
                  <c:v>130.76611591912854</c:v>
                </c:pt>
                <c:pt idx="166">
                  <c:v>131.61665358405969</c:v>
                </c:pt>
                <c:pt idx="167">
                  <c:v>132.46374357492016</c:v>
                </c:pt>
                <c:pt idx="168">
                  <c:v>133.30736228653979</c:v>
                </c:pt>
                <c:pt idx="169">
                  <c:v>134.14748715746208</c:v>
                </c:pt>
                <c:pt idx="170">
                  <c:v>134.984096651876</c:v>
                </c:pt>
                <c:pt idx="171">
                  <c:v>135.81717024161017</c:v>
                </c:pt>
                <c:pt idx="172">
                  <c:v>136.64668838819992</c:v>
                </c:pt>
                <c:pt idx="173">
                  <c:v>137.47263252503481</c:v>
                </c:pt>
                <c:pt idx="174">
                  <c:v>138.29498503959536</c:v>
                </c:pt>
                <c:pt idx="175">
                  <c:v>139.11372925578684</c:v>
                </c:pt>
                <c:pt idx="176">
                  <c:v>139.92884941637709</c:v>
                </c:pt>
                <c:pt idx="177">
                  <c:v>140.74033066554648</c:v>
                </c:pt>
                <c:pt idx="178">
                  <c:v>141.54815903155563</c:v>
                </c:pt>
                <c:pt idx="179">
                  <c:v>142.35232140953764</c:v>
                </c:pt>
                <c:pt idx="180">
                  <c:v>143.15280554442154</c:v>
                </c:pt>
                <c:pt idx="181">
                  <c:v>143.94960001399159</c:v>
                </c:pt>
                <c:pt idx="182">
                  <c:v>144.74269421208828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0EE-46C1-8AC0-0172963D7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089360"/>
        <c:axId val="500090344"/>
      </c:scatterChart>
      <c:valAx>
        <c:axId val="50008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90344"/>
        <c:crosses val="autoZero"/>
        <c:crossBetween val="midCat"/>
      </c:valAx>
      <c:valAx>
        <c:axId val="50009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89360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Nursery!$D$1</c:f>
              <c:strCache>
                <c:ptCount val="1"/>
                <c:pt idx="0">
                  <c:v>ADFI, kg</c:v>
                </c:pt>
              </c:strCache>
            </c:strRef>
          </c:tx>
          <c:marker>
            <c:symbol val="none"/>
          </c:marker>
          <c:xVal>
            <c:numRef>
              <c:f>Nursery!$B$2:$B$184</c:f>
              <c:numCache>
                <c:formatCode>0.00</c:formatCode>
                <c:ptCount val="183"/>
                <c:pt idx="0">
                  <c:v>5.65</c:v>
                </c:pt>
                <c:pt idx="1">
                  <c:v>5.6560000000000006</c:v>
                </c:pt>
                <c:pt idx="2">
                  <c:v>5.6871038663317339</c:v>
                </c:pt>
                <c:pt idx="3">
                  <c:v>5.7418524808334492</c:v>
                </c:pt>
                <c:pt idx="4">
                  <c:v>5.8200064682290211</c:v>
                </c:pt>
                <c:pt idx="5">
                  <c:v>5.9210215175209182</c:v>
                </c:pt>
                <c:pt idx="6">
                  <c:v>6.0443533177116082</c:v>
                </c:pt>
                <c:pt idx="7">
                  <c:v>6.1894575578035607</c:v>
                </c:pt>
                <c:pt idx="8">
                  <c:v>6.3557899267992433</c:v>
                </c:pt>
                <c:pt idx="9">
                  <c:v>6.5428061137011246</c:v>
                </c:pt>
                <c:pt idx="10">
                  <c:v>6.7499618075116734</c:v>
                </c:pt>
                <c:pt idx="11">
                  <c:v>6.9767126972333582</c:v>
                </c:pt>
                <c:pt idx="12">
                  <c:v>7.2225144718686467</c:v>
                </c:pt>
                <c:pt idx="13">
                  <c:v>7.4868228204200085</c:v>
                </c:pt>
                <c:pt idx="14">
                  <c:v>7.7690934318899121</c:v>
                </c:pt>
                <c:pt idx="15">
                  <c:v>8.0687819952808244</c:v>
                </c:pt>
                <c:pt idx="16">
                  <c:v>8.3853441995952149</c:v>
                </c:pt>
                <c:pt idx="17">
                  <c:v>8.7182357338355523</c:v>
                </c:pt>
                <c:pt idx="18">
                  <c:v>9.0669122870043033</c:v>
                </c:pt>
                <c:pt idx="19">
                  <c:v>9.4308295481039384</c:v>
                </c:pt>
                <c:pt idx="20">
                  <c:v>9.8094432061369261</c:v>
                </c:pt>
                <c:pt idx="21">
                  <c:v>10.202208950105733</c:v>
                </c:pt>
                <c:pt idx="22">
                  <c:v>10.608582469012829</c:v>
                </c:pt>
                <c:pt idx="23">
                  <c:v>11.028019451860683</c:v>
                </c:pt>
                <c:pt idx="24">
                  <c:v>11.459975587651762</c:v>
                </c:pt>
                <c:pt idx="25">
                  <c:v>11.90160394586934</c:v>
                </c:pt>
                <c:pt idx="26">
                  <c:v>12.353121103797351</c:v>
                </c:pt>
                <c:pt idx="27">
                  <c:v>12.814748488248393</c:v>
                </c:pt>
                <c:pt idx="28">
                  <c:v>13.286712484152808</c:v>
                </c:pt>
                <c:pt idx="29">
                  <c:v>13.769244545579264</c:v>
                </c:pt>
                <c:pt idx="30">
                  <c:v>14.262581309241252</c:v>
                </c:pt>
                <c:pt idx="31">
                  <c:v>14.766964710545206</c:v>
                </c:pt>
                <c:pt idx="32">
                  <c:v>15.282642102237125</c:v>
                </c:pt>
                <c:pt idx="33">
                  <c:v>15.809866375705884</c:v>
                </c:pt>
                <c:pt idx="34">
                  <c:v>16.348896085002753</c:v>
                </c:pt>
                <c:pt idx="35">
                  <c:v>16.899995573637892</c:v>
                </c:pt>
                <c:pt idx="36">
                  <c:v>17.463435104216057</c:v>
                </c:pt>
                <c:pt idx="37">
                  <c:v>18.03949099097505</c:v>
                </c:pt>
                <c:pt idx="38">
                  <c:v>18.628445735291937</c:v>
                </c:pt>
                <c:pt idx="39">
                  <c:v>19.230588164223473</c:v>
                </c:pt>
                <c:pt idx="40">
                  <c:v>19.846213572148681</c:v>
                </c:pt>
                <c:pt idx="41">
                  <c:v>20.475623865583042</c:v>
                </c:pt>
                <c:pt idx="42">
                  <c:v>21.118767245594924</c:v>
                </c:pt>
                <c:pt idx="43">
                  <c:v>21.776680221739266</c:v>
                </c:pt>
                <c:pt idx="44">
                  <c:v>22.443890449812482</c:v>
                </c:pt>
                <c:pt idx="45">
                  <c:v>23.120270571214487</c:v>
                </c:pt>
                <c:pt idx="46">
                  <c:v>23.80569124315759</c:v>
                </c:pt>
                <c:pt idx="47">
                  <c:v>24.500021227874193</c:v>
                </c:pt>
                <c:pt idx="48">
                  <c:v>25.203127481653272</c:v>
                </c:pt>
                <c:pt idx="49">
                  <c:v>25.914875243654286</c:v>
                </c:pt>
                <c:pt idx="50">
                  <c:v>26.635128124445604</c:v>
                </c:pt>
                <c:pt idx="51">
                  <c:v>27.363748194213375</c:v>
                </c:pt>
                <c:pt idx="52">
                  <c:v>28.100596070586015</c:v>
                </c:pt>
                <c:pt idx="53">
                  <c:v>28.845531006018703</c:v>
                </c:pt>
                <c:pt idx="54">
                  <c:v>29.598410974682274</c:v>
                </c:pt>
                <c:pt idx="55">
                  <c:v>30.359092758800429</c:v>
                </c:pt>
                <c:pt idx="56">
                  <c:v>31.127432034379694</c:v>
                </c:pt>
                <c:pt idx="57">
                  <c:v>31.903283456276839</c:v>
                </c:pt>
                <c:pt idx="58">
                  <c:v>32.686500742548724</c:v>
                </c:pt>
                <c:pt idx="59">
                  <c:v>33.476936758030718</c:v>
                </c:pt>
                <c:pt idx="60">
                  <c:v>34.274443597090482</c:v>
                </c:pt>
                <c:pt idx="61">
                  <c:v>35.078872665504804</c:v>
                </c:pt>
                <c:pt idx="62">
                  <c:v>35.890074761408812</c:v>
                </c:pt>
                <c:pt idx="63">
                  <c:v>36.707900155267652</c:v>
                </c:pt>
                <c:pt idx="64">
                  <c:v>37.532198668822481</c:v>
                </c:pt>
                <c:pt idx="65">
                  <c:v>38.362819752964327</c:v>
                </c:pt>
                <c:pt idx="66">
                  <c:v>39.199612564490117</c:v>
                </c:pt>
                <c:pt idx="67">
                  <c:v>40.04242604169827</c:v>
                </c:pt>
                <c:pt idx="68">
                  <c:v>40.89110897878146</c:v>
                </c:pt>
                <c:pt idx="69">
                  <c:v>41.745510098977427</c:v>
                </c:pt>
                <c:pt idx="70">
                  <c:v>42.605478126439635</c:v>
                </c:pt>
                <c:pt idx="71">
                  <c:v>43.470861856791842</c:v>
                </c:pt>
                <c:pt idx="72">
                  <c:v>44.341510226332886</c:v>
                </c:pt>
                <c:pt idx="73">
                  <c:v>45.21727237985958</c:v>
                </c:pt>
                <c:pt idx="74">
                  <c:v>46.097997737077939</c:v>
                </c:pt>
                <c:pt idx="75">
                  <c:v>46.983536057575122</c:v>
                </c:pt>
                <c:pt idx="76">
                  <c:v>47.873737504326087</c:v>
                </c:pt>
                <c:pt idx="77">
                  <c:v>48.768452705711795</c:v>
                </c:pt>
                <c:pt idx="78">
                  <c:v>49.667532816027069</c:v>
                </c:pt>
                <c:pt idx="79">
                  <c:v>50.570829574459083</c:v>
                </c:pt>
                <c:pt idx="80">
                  <c:v>51.478195362518946</c:v>
                </c:pt>
                <c:pt idx="81">
                  <c:v>52.389483259911238</c:v>
                </c:pt>
                <c:pt idx="82">
                  <c:v>53.304547098828337</c:v>
                </c:pt>
                <c:pt idx="83">
                  <c:v>54.223241516658341</c:v>
                </c:pt>
                <c:pt idx="84">
                  <c:v>55.145422007097707</c:v>
                </c:pt>
                <c:pt idx="85">
                  <c:v>56.070944969660843</c:v>
                </c:pt>
                <c:pt idx="86">
                  <c:v>56.999667757582202</c:v>
                </c:pt>
                <c:pt idx="87">
                  <c:v>57.931448724106971</c:v>
                </c:pt>
                <c:pt idx="88">
                  <c:v>58.866147267169168</c:v>
                </c:pt>
                <c:pt idx="89">
                  <c:v>59.803623872457344</c:v>
                </c:pt>
                <c:pt idx="90">
                  <c:v>60.743740154870281</c:v>
                </c:pt>
                <c:pt idx="91">
                  <c:v>61.686358898366166</c:v>
                </c:pt>
                <c:pt idx="92">
                  <c:v>62.631344094211038</c:v>
                </c:pt>
                <c:pt idx="93">
                  <c:v>63.578560977633487</c:v>
                </c:pt>
                <c:pt idx="94">
                  <c:v>64.527876062894478</c:v>
                </c:pt>
                <c:pt idx="95">
                  <c:v>65.479157176782138</c:v>
                </c:pt>
                <c:pt idx="96">
                  <c:v>66.432273490543707</c:v>
                </c:pt>
                <c:pt idx="97">
                  <c:v>67.387095550267077</c:v>
                </c:pt>
                <c:pt idx="98">
                  <c:v>68.343495305726933</c:v>
                </c:pt>
                <c:pt idx="99">
                  <c:v>69.301346137710397</c:v>
                </c:pt>
                <c:pt idx="100">
                  <c:v>70.260522883839826</c:v>
                </c:pt>
                <c:pt idx="101">
                  <c:v>71.220901862910239</c:v>
                </c:pt>
                <c:pt idx="102">
                  <c:v>72.18236089776066</c:v>
                </c:pt>
                <c:pt idx="103">
                  <c:v>73.144779336699344</c:v>
                </c:pt>
                <c:pt idx="104">
                  <c:v>74.108038073504417</c:v>
                </c:pt>
                <c:pt idx="105">
                  <c:v>75.07201956602141</c:v>
                </c:pt>
                <c:pt idx="106">
                  <c:v>76.036607853380929</c:v>
                </c:pt>
                <c:pt idx="107">
                  <c:v>77.001688571859901</c:v>
                </c:pt>
                <c:pt idx="108">
                  <c:v>77.967148969410999</c:v>
                </c:pt>
                <c:pt idx="109">
                  <c:v>78.932877918884913</c:v>
                </c:pt>
                <c:pt idx="110">
                  <c:v>79.89876592997183</c:v>
                </c:pt>
                <c:pt idx="111">
                  <c:v>80.864705159887507</c:v>
                </c:pt>
                <c:pt idx="112">
                  <c:v>81.830589422831395</c:v>
                </c:pt>
                <c:pt idx="113">
                  <c:v>82.796314198243707</c:v>
                </c:pt>
                <c:pt idx="114">
                  <c:v>83.761776637889014</c:v>
                </c:pt>
                <c:pt idx="115">
                  <c:v>84.72687557179438</c:v>
                </c:pt>
                <c:pt idx="116">
                  <c:v>85.691511513070409</c:v>
                </c:pt>
                <c:pt idx="117">
                  <c:v>86.655586661643497</c:v>
                </c:pt>
                <c:pt idx="118">
                  <c:v>87.619004906928069</c:v>
                </c:pt>
                <c:pt idx="119">
                  <c:v>88.581671829467837</c:v>
                </c:pt>
                <c:pt idx="120">
                  <c:v>89.543494701574872</c:v>
                </c:pt>
                <c:pt idx="121">
                  <c:v>90.504382486995482</c:v>
                </c:pt>
                <c:pt idx="122">
                  <c:v>91.464245839632298</c:v>
                </c:pt>
                <c:pt idx="123">
                  <c:v>92.422997101351399</c:v>
                </c:pt>
                <c:pt idx="124">
                  <c:v>93.380550298903586</c:v>
                </c:pt>
                <c:pt idx="125">
                  <c:v>94.336821139988658</c:v>
                </c:pt>
                <c:pt idx="126">
                  <c:v>95.291727008491875</c:v>
                </c:pt>
                <c:pt idx="127">
                  <c:v>96.245186958920812</c:v>
                </c:pt>
                <c:pt idx="128">
                  <c:v>97.197121710071457</c:v>
                </c:pt>
                <c:pt idx="129">
                  <c:v>98.147453637951756</c:v>
                </c:pt>
                <c:pt idx="130">
                  <c:v>99.096106767990889</c:v>
                </c:pt>
                <c:pt idx="131">
                  <c:v>100.0430067665614</c:v>
                </c:pt>
                <c:pt idx="132">
                  <c:v>100.98808093184263</c:v>
                </c:pt>
                <c:pt idx="133">
                  <c:v>101.931258184052</c:v>
                </c:pt>
                <c:pt idx="134">
                  <c:v>102.87246905507105</c:v>
                </c:pt>
                <c:pt idx="135">
                  <c:v>103.81164567749326</c:v>
                </c:pt>
                <c:pt idx="136">
                  <c:v>104.74872177311906</c:v>
                </c:pt>
                <c:pt idx="137">
                  <c:v>105.68363264092434</c:v>
                </c:pt>
                <c:pt idx="138">
                  <c:v>106.61631514452745</c:v>
                </c:pt>
                <c:pt idx="139">
                  <c:v>107.54670769917989</c:v>
                </c:pt>
                <c:pt idx="140">
                  <c:v>108.47475025830499</c:v>
                </c:pt>
                <c:pt idx="141">
                  <c:v>109.40038429960839</c:v>
                </c:pt>
                <c:pt idx="142">
                  <c:v>110.32355281078438</c:v>
                </c:pt>
                <c:pt idx="143">
                  <c:v>111.24420027484101</c:v>
                </c:pt>
                <c:pt idx="144">
                  <c:v>112.162272655066</c:v>
                </c:pt>
                <c:pt idx="145">
                  <c:v>113.07771737965686</c:v>
                </c:pt>
                <c:pt idx="146">
                  <c:v>113.99048332603523</c:v>
                </c:pt>
                <c:pt idx="147">
                  <c:v>114.90052080486808</c:v>
                </c:pt>
                <c:pt idx="148">
                  <c:v>115.80778154381539</c:v>
                </c:pt>
                <c:pt idx="149">
                  <c:v>116.71221867102484</c:v>
                </c:pt>
                <c:pt idx="150">
                  <c:v>117.61378669839311</c:v>
                </c:pt>
                <c:pt idx="151">
                  <c:v>118.5124415046127</c:v>
                </c:pt>
                <c:pt idx="152">
                  <c:v>119.40814031802313</c:v>
                </c:pt>
                <c:pt idx="153">
                  <c:v>120.3008416992844</c:v>
                </c:pt>
                <c:pt idx="154">
                  <c:v>121.19050552389018</c:v>
                </c:pt>
                <c:pt idx="155">
                  <c:v>122.077092964538</c:v>
                </c:pt>
                <c:pt idx="156">
                  <c:v>122.96056647337296</c:v>
                </c:pt>
                <c:pt idx="157">
                  <c:v>123.8408897641208</c:v>
                </c:pt>
                <c:pt idx="158">
                  <c:v>124.71802779412582</c:v>
                </c:pt>
                <c:pt idx="159">
                  <c:v>125.59194674630905</c:v>
                </c:pt>
                <c:pt idx="160">
                  <c:v>126.46261401106085</c:v>
                </c:pt>
                <c:pt idx="161">
                  <c:v>127.329998168082</c:v>
                </c:pt>
                <c:pt idx="162">
                  <c:v>128.19406896818703</c:v>
                </c:pt>
                <c:pt idx="163">
                  <c:v>129.05479731508245</c:v>
                </c:pt>
                <c:pt idx="164">
                  <c:v>129.91215524713317</c:v>
                </c:pt>
                <c:pt idx="165">
                  <c:v>130.76611591912854</c:v>
                </c:pt>
                <c:pt idx="166">
                  <c:v>131.61665358405969</c:v>
                </c:pt>
                <c:pt idx="167">
                  <c:v>132.46374357492016</c:v>
                </c:pt>
                <c:pt idx="168">
                  <c:v>133.30736228653979</c:v>
                </c:pt>
                <c:pt idx="169">
                  <c:v>134.14748715746208</c:v>
                </c:pt>
                <c:pt idx="170">
                  <c:v>134.984096651876</c:v>
                </c:pt>
                <c:pt idx="171">
                  <c:v>135.81717024161017</c:v>
                </c:pt>
                <c:pt idx="172">
                  <c:v>136.64668838819992</c:v>
                </c:pt>
                <c:pt idx="173">
                  <c:v>137.47263252503481</c:v>
                </c:pt>
                <c:pt idx="174">
                  <c:v>138.29498503959536</c:v>
                </c:pt>
                <c:pt idx="175">
                  <c:v>139.11372925578684</c:v>
                </c:pt>
                <c:pt idx="176">
                  <c:v>139.92884941637709</c:v>
                </c:pt>
                <c:pt idx="177">
                  <c:v>140.74033066554648</c:v>
                </c:pt>
                <c:pt idx="178">
                  <c:v>141.54815903155563</c:v>
                </c:pt>
                <c:pt idx="179">
                  <c:v>142.35232140953764</c:v>
                </c:pt>
                <c:pt idx="180">
                  <c:v>143.15280554442154</c:v>
                </c:pt>
                <c:pt idx="181">
                  <c:v>143.94960001399159</c:v>
                </c:pt>
                <c:pt idx="182">
                  <c:v>144.74269421208828</c:v>
                </c:pt>
              </c:numCache>
            </c:numRef>
          </c:xVal>
          <c:yVal>
            <c:numRef>
              <c:f>Nursery!$D$2:$D$183</c:f>
              <c:numCache>
                <c:formatCode>0.000</c:formatCode>
                <c:ptCount val="182"/>
                <c:pt idx="0">
                  <c:v>6.0000000000000001E-3</c:v>
                </c:pt>
                <c:pt idx="1">
                  <c:v>3.1414904995050674E-2</c:v>
                </c:pt>
                <c:pt idx="2">
                  <c:v>5.5843586791749618E-2</c:v>
                </c:pt>
                <c:pt idx="3">
                  <c:v>8.049860701743905E-2</c:v>
                </c:pt>
                <c:pt idx="4">
                  <c:v>0.10505565126357297</c:v>
                </c:pt>
                <c:pt idx="5">
                  <c:v>0.12949839020022452</c:v>
                </c:pt>
                <c:pt idx="6">
                  <c:v>0.15381049449746959</c:v>
                </c:pt>
                <c:pt idx="7">
                  <c:v>0.17963895851533723</c:v>
                </c:pt>
                <c:pt idx="8">
                  <c:v>0.20463895851533723</c:v>
                </c:pt>
                <c:pt idx="9">
                  <c:v>0.22963895851533722</c:v>
                </c:pt>
                <c:pt idx="10">
                  <c:v>0.25463895851533724</c:v>
                </c:pt>
                <c:pt idx="11">
                  <c:v>0.27963895851533727</c:v>
                </c:pt>
                <c:pt idx="12">
                  <c:v>0.30463895851533729</c:v>
                </c:pt>
                <c:pt idx="13">
                  <c:v>0.32963895851533731</c:v>
                </c:pt>
                <c:pt idx="14">
                  <c:v>0.35463895851533733</c:v>
                </c:pt>
                <c:pt idx="15">
                  <c:v>0.37963895851533735</c:v>
                </c:pt>
                <c:pt idx="16">
                  <c:v>0.40463895851533738</c:v>
                </c:pt>
                <c:pt idx="17">
                  <c:v>0.4296389585153374</c:v>
                </c:pt>
                <c:pt idx="18">
                  <c:v>0.45463895851533742</c:v>
                </c:pt>
                <c:pt idx="19">
                  <c:v>0.47963895851533744</c:v>
                </c:pt>
                <c:pt idx="20">
                  <c:v>0.50463895851533747</c:v>
                </c:pt>
                <c:pt idx="21">
                  <c:v>0.52963895851533749</c:v>
                </c:pt>
                <c:pt idx="22">
                  <c:v>0.54963895851533751</c:v>
                </c:pt>
                <c:pt idx="23">
                  <c:v>0.56963895851533752</c:v>
                </c:pt>
                <c:pt idx="24">
                  <c:v>0.58963895851533754</c:v>
                </c:pt>
                <c:pt idx="25">
                  <c:v>0.60963895851533756</c:v>
                </c:pt>
                <c:pt idx="26">
                  <c:v>0.62963895851533758</c:v>
                </c:pt>
                <c:pt idx="27">
                  <c:v>0.64963895851533759</c:v>
                </c:pt>
                <c:pt idx="28">
                  <c:v>0.67263895851533761</c:v>
                </c:pt>
                <c:pt idx="29">
                  <c:v>0.69563895851533764</c:v>
                </c:pt>
                <c:pt idx="30">
                  <c:v>0.71863895851533766</c:v>
                </c:pt>
                <c:pt idx="31">
                  <c:v>0.74163895851533768</c:v>
                </c:pt>
                <c:pt idx="32">
                  <c:v>0.7646389585153377</c:v>
                </c:pt>
                <c:pt idx="33">
                  <c:v>0.78763895851533772</c:v>
                </c:pt>
                <c:pt idx="34">
                  <c:v>0.81063895851533774</c:v>
                </c:pt>
                <c:pt idx="35">
                  <c:v>0.83363895851533776</c:v>
                </c:pt>
                <c:pt idx="36">
                  <c:v>0.85863895851533778</c:v>
                </c:pt>
                <c:pt idx="37">
                  <c:v>0.8836389585153378</c:v>
                </c:pt>
                <c:pt idx="38">
                  <c:v>0.91363895851533783</c:v>
                </c:pt>
                <c:pt idx="39">
                  <c:v>0.94363895851533786</c:v>
                </c:pt>
                <c:pt idx="40">
                  <c:v>0.97363895851533788</c:v>
                </c:pt>
                <c:pt idx="41">
                  <c:v>0.9976389585153379</c:v>
                </c:pt>
                <c:pt idx="42">
                  <c:v>1.0210304359021636</c:v>
                </c:pt>
                <c:pt idx="43">
                  <c:v>1.0501826107235677</c:v>
                </c:pt>
                <c:pt idx="44">
                  <c:v>1.0795110078548809</c:v>
                </c:pt>
                <c:pt idx="45">
                  <c:v>1.1089966437764907</c:v>
                </c:pt>
                <c:pt idx="46">
                  <c:v>1.1386204883163993</c:v>
                </c:pt>
                <c:pt idx="47">
                  <c:v>1.1683635012877533</c:v>
                </c:pt>
                <c:pt idx="48">
                  <c:v>1.1982066688855144</c:v>
                </c:pt>
                <c:pt idx="49">
                  <c:v>1.2281310397061247</c:v>
                </c:pt>
                <c:pt idx="50">
                  <c:v>1.2581177602572642</c:v>
                </c:pt>
                <c:pt idx="51">
                  <c:v>1.288148109828801</c:v>
                </c:pt>
                <c:pt idx="52">
                  <c:v>1.3182035346007943</c:v>
                </c:pt>
                <c:pt idx="53">
                  <c:v>1.3482656808698184</c:v>
                </c:pt>
                <c:pt idx="54">
                  <c:v>1.3783164272809321</c:v>
                </c:pt>
                <c:pt idx="55">
                  <c:v>1.4083379159592655</c:v>
                </c:pt>
                <c:pt idx="56">
                  <c:v>1.4383125824423098</c:v>
                </c:pt>
                <c:pt idx="57">
                  <c:v>1.4682231843216345</c:v>
                </c:pt>
                <c:pt idx="58">
                  <c:v>1.4980528285107182</c:v>
                </c:pt>
                <c:pt idx="59">
                  <c:v>1.5277849970639017</c:v>
                </c:pt>
                <c:pt idx="60">
                  <c:v>1.5574035714800547</c:v>
                </c:pt>
                <c:pt idx="61">
                  <c:v>1.5868928554332546</c:v>
                </c:pt>
                <c:pt idx="62">
                  <c:v>1.6162375958817081</c:v>
                </c:pt>
                <c:pt idx="63">
                  <c:v>1.6454230025150056</c:v>
                </c:pt>
                <c:pt idx="64">
                  <c:v>1.6744347655087433</c:v>
                </c:pt>
                <c:pt idx="65">
                  <c:v>1.7032590715643761</c:v>
                </c:pt>
                <c:pt idx="66">
                  <c:v>1.7318826182208045</c:v>
                </c:pt>
                <c:pt idx="67">
                  <c:v>1.7602926264327861</c:v>
                </c:pt>
                <c:pt idx="68">
                  <c:v>1.7884768514193998</c:v>
                </c:pt>
                <c:pt idx="69">
                  <c:v>1.8164235917938449</c:v>
                </c:pt>
                <c:pt idx="70">
                  <c:v>1.8441216969933927</c:v>
                </c:pt>
                <c:pt idx="71">
                  <c:v>1.8715605730355684</c:v>
                </c:pt>
                <c:pt idx="72">
                  <c:v>1.8987301866334616</c:v>
                </c:pt>
                <c:pt idx="73">
                  <c:v>1.9256210677093988</c:v>
                </c:pt>
                <c:pt idx="74">
                  <c:v>1.9522243103521277</c:v>
                </c:pt>
                <c:pt idx="75">
                  <c:v>1.9785315722680665</c:v>
                </c:pt>
                <c:pt idx="76">
                  <c:v>2.0045350727820388</c:v>
                </c:pt>
                <c:pt idx="77">
                  <c:v>2.0302275894473265</c:v>
                </c:pt>
                <c:pt idx="78">
                  <c:v>2.0556024533286958</c:v>
                </c:pt>
                <c:pt idx="79">
                  <c:v>2.0806535430253907</c:v>
                </c:pt>
                <c:pt idx="80">
                  <c:v>2.1053752775039052</c:v>
                </c:pt>
                <c:pt idx="81">
                  <c:v>2.1297626078126042</c:v>
                </c:pt>
                <c:pt idx="82">
                  <c:v>2.1538110077520929</c:v>
                </c:pt>
                <c:pt idx="83">
                  <c:v>2.1775164635764881</c:v>
                </c:pt>
                <c:pt idx="84">
                  <c:v>2.2008754628016005</c:v>
                </c:pt>
                <c:pt idx="85">
                  <c:v>2.223884982196386</c:v>
                </c:pt>
                <c:pt idx="86">
                  <c:v>2.2465424750339666</c:v>
                </c:pt>
                <c:pt idx="87">
                  <c:v>2.2688458576780723</c:v>
                </c:pt>
                <c:pt idx="88">
                  <c:v>2.2907934955798606</c:v>
                </c:pt>
                <c:pt idx="89">
                  <c:v>2.312384188758926</c:v>
                </c:pt>
                <c:pt idx="90">
                  <c:v>2.3336171568407291</c:v>
                </c:pt>
                <c:pt idx="91">
                  <c:v>2.3544920237208773</c:v>
                </c:pt>
                <c:pt idx="92">
                  <c:v>2.3750088019245941</c:v>
                </c:pt>
                <c:pt idx="93">
                  <c:v>2.3951678767273723</c:v>
                </c:pt>
                <c:pt idx="94">
                  <c:v>2.4149699901002748</c:v>
                </c:pt>
                <c:pt idx="95">
                  <c:v>2.4344162245406178</c:v>
                </c:pt>
                <c:pt idx="96">
                  <c:v>2.4535079868459162</c:v>
                </c:pt>
                <c:pt idx="97">
                  <c:v>2.4722469918859575</c:v>
                </c:pt>
                <c:pt idx="98">
                  <c:v>2.4906352464247883</c:v>
                </c:pt>
                <c:pt idx="99">
                  <c:v>2.5086750330412286</c:v>
                </c:pt>
                <c:pt idx="100">
                  <c:v>2.5263688941933191</c:v>
                </c:pt>
                <c:pt idx="101">
                  <c:v>2.5437196164688656</c:v>
                </c:pt>
                <c:pt idx="102">
                  <c:v>2.5607302150610085</c:v>
                </c:pt>
                <c:pt idx="103">
                  <c:v>2.5774039185044937</c:v>
                </c:pt>
                <c:pt idx="104">
                  <c:v>2.5937441537051837</c:v>
                </c:pt>
                <c:pt idx="105">
                  <c:v>2.6097545312921309</c:v>
                </c:pt>
                <c:pt idx="106">
                  <c:v>2.6254388313185109</c:v>
                </c:pt>
                <c:pt idx="107">
                  <c:v>2.6408009893347169</c:v>
                </c:pt>
                <c:pt idx="108">
                  <c:v>2.6558450828539613</c:v>
                </c:pt>
                <c:pt idx="109">
                  <c:v>2.6705753182279626</c:v>
                </c:pt>
                <c:pt idx="110">
                  <c:v>2.6849960179476078</c:v>
                </c:pt>
                <c:pt idx="111">
                  <c:v>2.6991116083808495</c:v>
                </c:pt>
                <c:pt idx="112">
                  <c:v>2.7129266079576846</c:v>
                </c:pt>
                <c:pt idx="113">
                  <c:v>2.7264456158097241</c:v>
                </c:pt>
                <c:pt idx="114">
                  <c:v>2.7396733008696259</c:v>
                </c:pt>
                <c:pt idx="115">
                  <c:v>2.7526143914336654</c:v>
                </c:pt>
                <c:pt idx="116">
                  <c:v>2.7652736651887135</c:v>
                </c:pt>
                <c:pt idx="117">
                  <c:v>2.7776559397031382</c:v>
                </c:pt>
                <c:pt idx="118">
                  <c:v>2.7897660633794832</c:v>
                </c:pt>
                <c:pt idx="119">
                  <c:v>2.8016089068652255</c:v>
                </c:pt>
                <c:pt idx="120">
                  <c:v>2.8131893549165219</c:v>
                </c:pt>
                <c:pt idx="121">
                  <c:v>2.8245122987085898</c:v>
                </c:pt>
                <c:pt idx="122">
                  <c:v>2.8355826285852119</c:v>
                </c:pt>
                <c:pt idx="123">
                  <c:v>2.8464052272388294</c:v>
                </c:pt>
                <c:pt idx="124">
                  <c:v>2.856984963311767</c:v>
                </c:pt>
                <c:pt idx="125">
                  <c:v>2.8673266854083379</c:v>
                </c:pt>
                <c:pt idx="126">
                  <c:v>2.8774352165069002</c:v>
                </c:pt>
                <c:pt idx="127">
                  <c:v>2.8873153487602883</c:v>
                </c:pt>
                <c:pt idx="128">
                  <c:v>2.8969718386726182</c:v>
                </c:pt>
                <c:pt idx="129">
                  <c:v>2.9064094026399827</c:v>
                </c:pt>
                <c:pt idx="130">
                  <c:v>2.9156327128423007</c:v>
                </c:pt>
                <c:pt idx="131">
                  <c:v>2.9246463934732643</c:v>
                </c:pt>
                <c:pt idx="132">
                  <c:v>2.933455017295227</c:v>
                </c:pt>
                <c:pt idx="133">
                  <c:v>2.9420631025057329</c:v>
                </c:pt>
                <c:pt idx="134">
                  <c:v>2.9504751099023467</c:v>
                </c:pt>
                <c:pt idx="135">
                  <c:v>2.9586954403324857</c:v>
                </c:pt>
                <c:pt idx="136">
                  <c:v>2.9667284324150121</c:v>
                </c:pt>
                <c:pt idx="137">
                  <c:v>2.9745783605204448</c:v>
                </c:pt>
                <c:pt idx="138">
                  <c:v>2.9822494329968512</c:v>
                </c:pt>
                <c:pt idx="139">
                  <c:v>2.9897457906286382</c:v>
                </c:pt>
                <c:pt idx="140">
                  <c:v>2.99707150531572</c:v>
                </c:pt>
                <c:pt idx="141">
                  <c:v>3.0042305789608075</c:v>
                </c:pt>
                <c:pt idx="142">
                  <c:v>3.0112269425528093</c:v>
                </c:pt>
                <c:pt idx="143">
                  <c:v>3.0180644554347249</c:v>
                </c:pt>
                <c:pt idx="144">
                  <c:v>3.0247469047446622</c:v>
                </c:pt>
                <c:pt idx="145">
                  <c:v>3.0312780050190073</c:v>
                </c:pt>
                <c:pt idx="146">
                  <c:v>3.0376613979471134</c:v>
                </c:pt>
                <c:pt idx="147">
                  <c:v>3.0439006522672551</c:v>
                </c:pt>
                <c:pt idx="148">
                  <c:v>3.0499992637939668</c:v>
                </c:pt>
                <c:pt idx="149">
                  <c:v>3.0559606555672514</c:v>
                </c:pt>
                <c:pt idx="150">
                  <c:v>3.0617881781145639</c:v>
                </c:pt>
                <c:pt idx="151">
                  <c:v>3.0674851098168223</c:v>
                </c:pt>
                <c:pt idx="152">
                  <c:v>3.0730546573701085</c:v>
                </c:pt>
                <c:pt idx="153">
                  <c:v>3.0784999563350839</c:v>
                </c:pt>
                <c:pt idx="154">
                  <c:v>3.0838240717665473</c:v>
                </c:pt>
                <c:pt idx="155">
                  <c:v>3.0890299989159047</c:v>
                </c:pt>
                <c:pt idx="156">
                  <c:v>3.0941206639997136</c:v>
                </c:pt>
                <c:pt idx="157">
                  <c:v>3.0990989250277989</c:v>
                </c:pt>
                <c:pt idx="158">
                  <c:v>3.1039675726848182</c:v>
                </c:pt>
                <c:pt idx="159">
                  <c:v>3.1087293312594619</c:v>
                </c:pt>
                <c:pt idx="160">
                  <c:v>3.1133868596158321</c:v>
                </c:pt>
                <c:pt idx="161">
                  <c:v>3.1179427522018486</c:v>
                </c:pt>
                <c:pt idx="162">
                  <c:v>3.122399540089861</c:v>
                </c:pt>
                <c:pt idx="163">
                  <c:v>3.1267596920449239</c:v>
                </c:pt>
                <c:pt idx="164">
                  <c:v>3.1310256156164979</c:v>
                </c:pt>
                <c:pt idx="165">
                  <c:v>3.1351996582496184</c:v>
                </c:pt>
                <c:pt idx="166">
                  <c:v>3.1392841084118324</c:v>
                </c:pt>
                <c:pt idx="167">
                  <c:v>3.143281196732465</c:v>
                </c:pt>
                <c:pt idx="168">
                  <c:v>3.147193097151022</c:v>
                </c:pt>
                <c:pt idx="169">
                  <c:v>3.1510219280717822</c:v>
                </c:pt>
                <c:pt idx="170">
                  <c:v>3.1547697535218138</c:v>
                </c:pt>
                <c:pt idx="171">
                  <c:v>3.1584385843099336</c:v>
                </c:pt>
                <c:pt idx="172">
                  <c:v>3.1620303791842446</c:v>
                </c:pt>
                <c:pt idx="173">
                  <c:v>3.165547045986159</c:v>
                </c:pt>
                <c:pt idx="174">
                  <c:v>3.1689904427989277</c:v>
                </c:pt>
                <c:pt idx="175">
                  <c:v>3.1723623790889244</c:v>
                </c:pt>
                <c:pt idx="176">
                  <c:v>3.1756646168380493</c:v>
                </c:pt>
                <c:pt idx="177">
                  <c:v>3.1788988716657984</c:v>
                </c:pt>
                <c:pt idx="178">
                  <c:v>3.1820668139396844</c:v>
                </c:pt>
                <c:pt idx="179">
                  <c:v>3.1851700698728078</c:v>
                </c:pt>
                <c:pt idx="180">
                  <c:v>3.1882102226075437</c:v>
                </c:pt>
                <c:pt idx="181">
                  <c:v>3.1911888132843833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DB-47B9-BA78-6F8137C4D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089360"/>
        <c:axId val="500090344"/>
      </c:scatterChart>
      <c:valAx>
        <c:axId val="50008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90344"/>
        <c:crosses val="autoZero"/>
        <c:crossBetween val="midCat"/>
      </c:valAx>
      <c:valAx>
        <c:axId val="50009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89360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Nursery!$E$1</c:f>
              <c:strCache>
                <c:ptCount val="1"/>
                <c:pt idx="0">
                  <c:v>F:G</c:v>
                </c:pt>
              </c:strCache>
            </c:strRef>
          </c:tx>
          <c:marker>
            <c:symbol val="none"/>
          </c:marker>
          <c:xVal>
            <c:numRef>
              <c:f>Nursery!$B$2:$B$184</c:f>
              <c:numCache>
                <c:formatCode>0.00</c:formatCode>
                <c:ptCount val="183"/>
                <c:pt idx="0">
                  <c:v>5.65</c:v>
                </c:pt>
                <c:pt idx="1">
                  <c:v>5.6560000000000006</c:v>
                </c:pt>
                <c:pt idx="2">
                  <c:v>5.6871038663317339</c:v>
                </c:pt>
                <c:pt idx="3">
                  <c:v>5.7418524808334492</c:v>
                </c:pt>
                <c:pt idx="4">
                  <c:v>5.8200064682290211</c:v>
                </c:pt>
                <c:pt idx="5">
                  <c:v>5.9210215175209182</c:v>
                </c:pt>
                <c:pt idx="6">
                  <c:v>6.0443533177116082</c:v>
                </c:pt>
                <c:pt idx="7">
                  <c:v>6.1894575578035607</c:v>
                </c:pt>
                <c:pt idx="8">
                  <c:v>6.3557899267992433</c:v>
                </c:pt>
                <c:pt idx="9">
                  <c:v>6.5428061137011246</c:v>
                </c:pt>
                <c:pt idx="10">
                  <c:v>6.7499618075116734</c:v>
                </c:pt>
                <c:pt idx="11">
                  <c:v>6.9767126972333582</c:v>
                </c:pt>
                <c:pt idx="12">
                  <c:v>7.2225144718686467</c:v>
                </c:pt>
                <c:pt idx="13">
                  <c:v>7.4868228204200085</c:v>
                </c:pt>
                <c:pt idx="14">
                  <c:v>7.7690934318899121</c:v>
                </c:pt>
                <c:pt idx="15">
                  <c:v>8.0687819952808244</c:v>
                </c:pt>
                <c:pt idx="16">
                  <c:v>8.3853441995952149</c:v>
                </c:pt>
                <c:pt idx="17">
                  <c:v>8.7182357338355523</c:v>
                </c:pt>
                <c:pt idx="18">
                  <c:v>9.0669122870043033</c:v>
                </c:pt>
                <c:pt idx="19">
                  <c:v>9.4308295481039384</c:v>
                </c:pt>
                <c:pt idx="20">
                  <c:v>9.8094432061369261</c:v>
                </c:pt>
                <c:pt idx="21">
                  <c:v>10.202208950105733</c:v>
                </c:pt>
                <c:pt idx="22">
                  <c:v>10.608582469012829</c:v>
                </c:pt>
                <c:pt idx="23">
                  <c:v>11.028019451860683</c:v>
                </c:pt>
                <c:pt idx="24">
                  <c:v>11.459975587651762</c:v>
                </c:pt>
                <c:pt idx="25">
                  <c:v>11.90160394586934</c:v>
                </c:pt>
                <c:pt idx="26">
                  <c:v>12.353121103797351</c:v>
                </c:pt>
                <c:pt idx="27">
                  <c:v>12.814748488248393</c:v>
                </c:pt>
                <c:pt idx="28">
                  <c:v>13.286712484152808</c:v>
                </c:pt>
                <c:pt idx="29">
                  <c:v>13.769244545579264</c:v>
                </c:pt>
                <c:pt idx="30">
                  <c:v>14.262581309241252</c:v>
                </c:pt>
                <c:pt idx="31">
                  <c:v>14.766964710545206</c:v>
                </c:pt>
                <c:pt idx="32">
                  <c:v>15.282642102237125</c:v>
                </c:pt>
                <c:pt idx="33">
                  <c:v>15.809866375705884</c:v>
                </c:pt>
                <c:pt idx="34">
                  <c:v>16.348896085002753</c:v>
                </c:pt>
                <c:pt idx="35">
                  <c:v>16.899995573637892</c:v>
                </c:pt>
                <c:pt idx="36">
                  <c:v>17.463435104216057</c:v>
                </c:pt>
                <c:pt idx="37">
                  <c:v>18.03949099097505</c:v>
                </c:pt>
                <c:pt idx="38">
                  <c:v>18.628445735291937</c:v>
                </c:pt>
                <c:pt idx="39">
                  <c:v>19.230588164223473</c:v>
                </c:pt>
                <c:pt idx="40">
                  <c:v>19.846213572148681</c:v>
                </c:pt>
                <c:pt idx="41">
                  <c:v>20.475623865583042</c:v>
                </c:pt>
                <c:pt idx="42">
                  <c:v>21.118767245594924</c:v>
                </c:pt>
                <c:pt idx="43">
                  <c:v>21.776680221739266</c:v>
                </c:pt>
                <c:pt idx="44">
                  <c:v>22.443890449812482</c:v>
                </c:pt>
                <c:pt idx="45">
                  <c:v>23.120270571214487</c:v>
                </c:pt>
                <c:pt idx="46">
                  <c:v>23.80569124315759</c:v>
                </c:pt>
                <c:pt idx="47">
                  <c:v>24.500021227874193</c:v>
                </c:pt>
                <c:pt idx="48">
                  <c:v>25.203127481653272</c:v>
                </c:pt>
                <c:pt idx="49">
                  <c:v>25.914875243654286</c:v>
                </c:pt>
                <c:pt idx="50">
                  <c:v>26.635128124445604</c:v>
                </c:pt>
                <c:pt idx="51">
                  <c:v>27.363748194213375</c:v>
                </c:pt>
                <c:pt idx="52">
                  <c:v>28.100596070586015</c:v>
                </c:pt>
                <c:pt idx="53">
                  <c:v>28.845531006018703</c:v>
                </c:pt>
                <c:pt idx="54">
                  <c:v>29.598410974682274</c:v>
                </c:pt>
                <c:pt idx="55">
                  <c:v>30.359092758800429</c:v>
                </c:pt>
                <c:pt idx="56">
                  <c:v>31.127432034379694</c:v>
                </c:pt>
                <c:pt idx="57">
                  <c:v>31.903283456276839</c:v>
                </c:pt>
                <c:pt idx="58">
                  <c:v>32.686500742548724</c:v>
                </c:pt>
                <c:pt idx="59">
                  <c:v>33.476936758030718</c:v>
                </c:pt>
                <c:pt idx="60">
                  <c:v>34.274443597090482</c:v>
                </c:pt>
                <c:pt idx="61">
                  <c:v>35.078872665504804</c:v>
                </c:pt>
                <c:pt idx="62">
                  <c:v>35.890074761408812</c:v>
                </c:pt>
                <c:pt idx="63">
                  <c:v>36.707900155267652</c:v>
                </c:pt>
                <c:pt idx="64">
                  <c:v>37.532198668822481</c:v>
                </c:pt>
                <c:pt idx="65">
                  <c:v>38.362819752964327</c:v>
                </c:pt>
                <c:pt idx="66">
                  <c:v>39.199612564490117</c:v>
                </c:pt>
                <c:pt idx="67">
                  <c:v>40.04242604169827</c:v>
                </c:pt>
                <c:pt idx="68">
                  <c:v>40.89110897878146</c:v>
                </c:pt>
                <c:pt idx="69">
                  <c:v>41.745510098977427</c:v>
                </c:pt>
                <c:pt idx="70">
                  <c:v>42.605478126439635</c:v>
                </c:pt>
                <c:pt idx="71">
                  <c:v>43.470861856791842</c:v>
                </c:pt>
                <c:pt idx="72">
                  <c:v>44.341510226332886</c:v>
                </c:pt>
                <c:pt idx="73">
                  <c:v>45.21727237985958</c:v>
                </c:pt>
                <c:pt idx="74">
                  <c:v>46.097997737077939</c:v>
                </c:pt>
                <c:pt idx="75">
                  <c:v>46.983536057575122</c:v>
                </c:pt>
                <c:pt idx="76">
                  <c:v>47.873737504326087</c:v>
                </c:pt>
                <c:pt idx="77">
                  <c:v>48.768452705711795</c:v>
                </c:pt>
                <c:pt idx="78">
                  <c:v>49.667532816027069</c:v>
                </c:pt>
                <c:pt idx="79">
                  <c:v>50.570829574459083</c:v>
                </c:pt>
                <c:pt idx="80">
                  <c:v>51.478195362518946</c:v>
                </c:pt>
                <c:pt idx="81">
                  <c:v>52.389483259911238</c:v>
                </c:pt>
                <c:pt idx="82">
                  <c:v>53.304547098828337</c:v>
                </c:pt>
                <c:pt idx="83">
                  <c:v>54.223241516658341</c:v>
                </c:pt>
                <c:pt idx="84">
                  <c:v>55.145422007097707</c:v>
                </c:pt>
                <c:pt idx="85">
                  <c:v>56.070944969660843</c:v>
                </c:pt>
                <c:pt idx="86">
                  <c:v>56.999667757582202</c:v>
                </c:pt>
                <c:pt idx="87">
                  <c:v>57.931448724106971</c:v>
                </c:pt>
                <c:pt idx="88">
                  <c:v>58.866147267169168</c:v>
                </c:pt>
                <c:pt idx="89">
                  <c:v>59.803623872457344</c:v>
                </c:pt>
                <c:pt idx="90">
                  <c:v>60.743740154870281</c:v>
                </c:pt>
                <c:pt idx="91">
                  <c:v>61.686358898366166</c:v>
                </c:pt>
                <c:pt idx="92">
                  <c:v>62.631344094211038</c:v>
                </c:pt>
                <c:pt idx="93">
                  <c:v>63.578560977633487</c:v>
                </c:pt>
                <c:pt idx="94">
                  <c:v>64.527876062894478</c:v>
                </c:pt>
                <c:pt idx="95">
                  <c:v>65.479157176782138</c:v>
                </c:pt>
                <c:pt idx="96">
                  <c:v>66.432273490543707</c:v>
                </c:pt>
                <c:pt idx="97">
                  <c:v>67.387095550267077</c:v>
                </c:pt>
                <c:pt idx="98">
                  <c:v>68.343495305726933</c:v>
                </c:pt>
                <c:pt idx="99">
                  <c:v>69.301346137710397</c:v>
                </c:pt>
                <c:pt idx="100">
                  <c:v>70.260522883839826</c:v>
                </c:pt>
                <c:pt idx="101">
                  <c:v>71.220901862910239</c:v>
                </c:pt>
                <c:pt idx="102">
                  <c:v>72.18236089776066</c:v>
                </c:pt>
                <c:pt idx="103">
                  <c:v>73.144779336699344</c:v>
                </c:pt>
                <c:pt idx="104">
                  <c:v>74.108038073504417</c:v>
                </c:pt>
                <c:pt idx="105">
                  <c:v>75.07201956602141</c:v>
                </c:pt>
                <c:pt idx="106">
                  <c:v>76.036607853380929</c:v>
                </c:pt>
                <c:pt idx="107">
                  <c:v>77.001688571859901</c:v>
                </c:pt>
                <c:pt idx="108">
                  <c:v>77.967148969410999</c:v>
                </c:pt>
                <c:pt idx="109">
                  <c:v>78.932877918884913</c:v>
                </c:pt>
                <c:pt idx="110">
                  <c:v>79.89876592997183</c:v>
                </c:pt>
                <c:pt idx="111">
                  <c:v>80.864705159887507</c:v>
                </c:pt>
                <c:pt idx="112">
                  <c:v>81.830589422831395</c:v>
                </c:pt>
                <c:pt idx="113">
                  <c:v>82.796314198243707</c:v>
                </c:pt>
                <c:pt idx="114">
                  <c:v>83.761776637889014</c:v>
                </c:pt>
                <c:pt idx="115">
                  <c:v>84.72687557179438</c:v>
                </c:pt>
                <c:pt idx="116">
                  <c:v>85.691511513070409</c:v>
                </c:pt>
                <c:pt idx="117">
                  <c:v>86.655586661643497</c:v>
                </c:pt>
                <c:pt idx="118">
                  <c:v>87.619004906928069</c:v>
                </c:pt>
                <c:pt idx="119">
                  <c:v>88.581671829467837</c:v>
                </c:pt>
                <c:pt idx="120">
                  <c:v>89.543494701574872</c:v>
                </c:pt>
                <c:pt idx="121">
                  <c:v>90.504382486995482</c:v>
                </c:pt>
                <c:pt idx="122">
                  <c:v>91.464245839632298</c:v>
                </c:pt>
                <c:pt idx="123">
                  <c:v>92.422997101351399</c:v>
                </c:pt>
                <c:pt idx="124">
                  <c:v>93.380550298903586</c:v>
                </c:pt>
                <c:pt idx="125">
                  <c:v>94.336821139988658</c:v>
                </c:pt>
                <c:pt idx="126">
                  <c:v>95.291727008491875</c:v>
                </c:pt>
                <c:pt idx="127">
                  <c:v>96.245186958920812</c:v>
                </c:pt>
                <c:pt idx="128">
                  <c:v>97.197121710071457</c:v>
                </c:pt>
                <c:pt idx="129">
                  <c:v>98.147453637951756</c:v>
                </c:pt>
                <c:pt idx="130">
                  <c:v>99.096106767990889</c:v>
                </c:pt>
                <c:pt idx="131">
                  <c:v>100.0430067665614</c:v>
                </c:pt>
                <c:pt idx="132">
                  <c:v>100.98808093184263</c:v>
                </c:pt>
                <c:pt idx="133">
                  <c:v>101.931258184052</c:v>
                </c:pt>
                <c:pt idx="134">
                  <c:v>102.87246905507105</c:v>
                </c:pt>
                <c:pt idx="135">
                  <c:v>103.81164567749326</c:v>
                </c:pt>
                <c:pt idx="136">
                  <c:v>104.74872177311906</c:v>
                </c:pt>
                <c:pt idx="137">
                  <c:v>105.68363264092434</c:v>
                </c:pt>
                <c:pt idx="138">
                  <c:v>106.61631514452745</c:v>
                </c:pt>
                <c:pt idx="139">
                  <c:v>107.54670769917989</c:v>
                </c:pt>
                <c:pt idx="140">
                  <c:v>108.47475025830499</c:v>
                </c:pt>
                <c:pt idx="141">
                  <c:v>109.40038429960839</c:v>
                </c:pt>
                <c:pt idx="142">
                  <c:v>110.32355281078438</c:v>
                </c:pt>
                <c:pt idx="143">
                  <c:v>111.24420027484101</c:v>
                </c:pt>
                <c:pt idx="144">
                  <c:v>112.162272655066</c:v>
                </c:pt>
                <c:pt idx="145">
                  <c:v>113.07771737965686</c:v>
                </c:pt>
                <c:pt idx="146">
                  <c:v>113.99048332603523</c:v>
                </c:pt>
                <c:pt idx="147">
                  <c:v>114.90052080486808</c:v>
                </c:pt>
                <c:pt idx="148">
                  <c:v>115.80778154381539</c:v>
                </c:pt>
                <c:pt idx="149">
                  <c:v>116.71221867102484</c:v>
                </c:pt>
                <c:pt idx="150">
                  <c:v>117.61378669839311</c:v>
                </c:pt>
                <c:pt idx="151">
                  <c:v>118.5124415046127</c:v>
                </c:pt>
                <c:pt idx="152">
                  <c:v>119.40814031802313</c:v>
                </c:pt>
                <c:pt idx="153">
                  <c:v>120.3008416992844</c:v>
                </c:pt>
                <c:pt idx="154">
                  <c:v>121.19050552389018</c:v>
                </c:pt>
                <c:pt idx="155">
                  <c:v>122.077092964538</c:v>
                </c:pt>
                <c:pt idx="156">
                  <c:v>122.96056647337296</c:v>
                </c:pt>
                <c:pt idx="157">
                  <c:v>123.8408897641208</c:v>
                </c:pt>
                <c:pt idx="158">
                  <c:v>124.71802779412582</c:v>
                </c:pt>
                <c:pt idx="159">
                  <c:v>125.59194674630905</c:v>
                </c:pt>
                <c:pt idx="160">
                  <c:v>126.46261401106085</c:v>
                </c:pt>
                <c:pt idx="161">
                  <c:v>127.329998168082</c:v>
                </c:pt>
                <c:pt idx="162">
                  <c:v>128.19406896818703</c:v>
                </c:pt>
                <c:pt idx="163">
                  <c:v>129.05479731508245</c:v>
                </c:pt>
                <c:pt idx="164">
                  <c:v>129.91215524713317</c:v>
                </c:pt>
                <c:pt idx="165">
                  <c:v>130.76611591912854</c:v>
                </c:pt>
                <c:pt idx="166">
                  <c:v>131.61665358405969</c:v>
                </c:pt>
                <c:pt idx="167">
                  <c:v>132.46374357492016</c:v>
                </c:pt>
                <c:pt idx="168">
                  <c:v>133.30736228653979</c:v>
                </c:pt>
                <c:pt idx="169">
                  <c:v>134.14748715746208</c:v>
                </c:pt>
                <c:pt idx="170">
                  <c:v>134.984096651876</c:v>
                </c:pt>
                <c:pt idx="171">
                  <c:v>135.81717024161017</c:v>
                </c:pt>
                <c:pt idx="172">
                  <c:v>136.64668838819992</c:v>
                </c:pt>
                <c:pt idx="173">
                  <c:v>137.47263252503481</c:v>
                </c:pt>
                <c:pt idx="174">
                  <c:v>138.29498503959536</c:v>
                </c:pt>
                <c:pt idx="175">
                  <c:v>139.11372925578684</c:v>
                </c:pt>
                <c:pt idx="176">
                  <c:v>139.92884941637709</c:v>
                </c:pt>
                <c:pt idx="177">
                  <c:v>140.74033066554648</c:v>
                </c:pt>
                <c:pt idx="178">
                  <c:v>141.54815903155563</c:v>
                </c:pt>
                <c:pt idx="179">
                  <c:v>142.35232140953764</c:v>
                </c:pt>
                <c:pt idx="180">
                  <c:v>143.15280554442154</c:v>
                </c:pt>
                <c:pt idx="181">
                  <c:v>143.94960001399159</c:v>
                </c:pt>
                <c:pt idx="182">
                  <c:v>144.74269421208828</c:v>
                </c:pt>
              </c:numCache>
            </c:numRef>
          </c:xVal>
          <c:yVal>
            <c:numRef>
              <c:f>Nursery!$E$2:$E$183</c:f>
              <c:numCache>
                <c:formatCode>0.000</c:formatCode>
                <c:ptCount val="182"/>
                <c:pt idx="0">
                  <c:v>1</c:v>
                </c:pt>
                <c:pt idx="1">
                  <c:v>1.01</c:v>
                </c:pt>
                <c:pt idx="2">
                  <c:v>1.02</c:v>
                </c:pt>
                <c:pt idx="3">
                  <c:v>1.03</c:v>
                </c:pt>
                <c:pt idx="4">
                  <c:v>1.04</c:v>
                </c:pt>
                <c:pt idx="5">
                  <c:v>1.05</c:v>
                </c:pt>
                <c:pt idx="6">
                  <c:v>1.06</c:v>
                </c:pt>
                <c:pt idx="7">
                  <c:v>1.08</c:v>
                </c:pt>
                <c:pt idx="8" formatCode="General">
                  <c:v>1.0942312636429792</c:v>
                </c:pt>
                <c:pt idx="9" formatCode="General">
                  <c:v>1.1085331727611127</c:v>
                </c:pt>
                <c:pt idx="10" formatCode="General">
                  <c:v>1.1229898979795954</c:v>
                </c:pt>
                <c:pt idx="11" formatCode="General">
                  <c:v>1.1376604539582966</c:v>
                </c:pt>
                <c:pt idx="12" formatCode="General">
                  <c:v>1.1525892397460094</c:v>
                </c:pt>
                <c:pt idx="13" formatCode="General">
                  <c:v>1.1678118270930384</c:v>
                </c:pt>
                <c:pt idx="14" formatCode="General">
                  <c:v>1.1833583320720451</c:v>
                </c:pt>
                <c:pt idx="15" formatCode="General">
                  <c:v>1.1992554807278977</c:v>
                </c:pt>
                <c:pt idx="16" formatCode="General">
                  <c:v>1.2155279329608923</c:v>
                </c:pt>
                <c:pt idx="17" formatCode="General">
                  <c:v>1.2321991674255268</c:v>
                </c:pt>
                <c:pt idx="18" formatCode="General">
                  <c:v>1.2492920977190585</c:v>
                </c:pt>
                <c:pt idx="19" formatCode="General">
                  <c:v>1.2668295195878738</c:v>
                </c:pt>
                <c:pt idx="20" formatCode="General">
                  <c:v>1.2848344497055093</c:v>
                </c:pt>
                <c:pt idx="21" formatCode="General">
                  <c:v>1.3033303940171921</c:v>
                </c:pt>
                <c:pt idx="22">
                  <c:v>1.3104208283767693</c:v>
                </c:pt>
                <c:pt idx="23">
                  <c:v>1.3187426021211794</c:v>
                </c:pt>
                <c:pt idx="24">
                  <c:v>1.3351474096797875</c:v>
                </c:pt>
                <c:pt idx="25">
                  <c:v>1.3502010893958927</c:v>
                </c:pt>
                <c:pt idx="26">
                  <c:v>1.3639549552808548</c:v>
                </c:pt>
                <c:pt idx="27">
                  <c:v>1.3764587217515321</c:v>
                </c:pt>
                <c:pt idx="28">
                  <c:v>1.3939777525391599</c:v>
                </c:pt>
                <c:pt idx="29">
                  <c:v>1.41006916523245</c:v>
                </c:pt>
                <c:pt idx="30">
                  <c:v>1.4247870898556145</c:v>
                </c:pt>
                <c:pt idx="31">
                  <c:v>1.4381839701795907</c:v>
                </c:pt>
                <c:pt idx="32">
                  <c:v>1.450310611619906</c:v>
                </c:pt>
                <c:pt idx="33">
                  <c:v>1.4612162278453349</c:v>
                </c:pt>
                <c:pt idx="34">
                  <c:v>1.4709484861308377</c:v>
                </c:pt>
                <c:pt idx="35">
                  <c:v>1.4795535514874352</c:v>
                </c:pt>
                <c:pt idx="36">
                  <c:v>1.4905480149612107</c:v>
                </c:pt>
                <c:pt idx="37">
                  <c:v>1.5003512019251102</c:v>
                </c:pt>
                <c:pt idx="38">
                  <c:v>1.5173137029000485</c:v>
                </c:pt>
                <c:pt idx="39">
                  <c:v>1.5328135362307558</c:v>
                </c:pt>
                <c:pt idx="40">
                  <c:v>1.5469066341490871</c:v>
                </c:pt>
                <c:pt idx="41">
                  <c:v>1.5503232269017442</c:v>
                </c:pt>
                <c:pt idx="42">
                  <c:v>1.5519232374558856</c:v>
                </c:pt>
                <c:pt idx="43" formatCode="0.00">
                  <c:v>1.5739905752888519</c:v>
                </c:pt>
                <c:pt idx="44" formatCode="0.00">
                  <c:v>1.5960123216177078</c:v>
                </c:pt>
                <c:pt idx="45" formatCode="0.00">
                  <c:v>1.6179795695869374</c:v>
                </c:pt>
                <c:pt idx="46" formatCode="0.00">
                  <c:v>1.639883792115268</c:v>
                </c:pt>
                <c:pt idx="47" formatCode="0.00">
                  <c:v>1.661716838682622</c:v>
                </c:pt>
                <c:pt idx="48" formatCode="0.00">
                  <c:v>1.6834709329002526</c:v>
                </c:pt>
                <c:pt idx="49" formatCode="0.00">
                  <c:v>1.7051386706802458</c:v>
                </c:pt>
                <c:pt idx="50" formatCode="0.00">
                  <c:v>1.7267130188415705</c:v>
                </c:pt>
                <c:pt idx="51" formatCode="0.00">
                  <c:v>1.7481873140085669</c:v>
                </c:pt>
                <c:pt idx="52" formatCode="0.00">
                  <c:v>1.7695552616754755</c:v>
                </c:pt>
                <c:pt idx="53" formatCode="0.00">
                  <c:v>1.7908109353249368</c:v>
                </c:pt>
                <c:pt idx="54" formatCode="0.00">
                  <c:v>1.8119487755037931</c:v>
                </c:pt>
                <c:pt idx="55" formatCode="0.00">
                  <c:v>1.8329635887707203</c:v>
                </c:pt>
                <c:pt idx="56" formatCode="0.00">
                  <c:v>1.8538505464426269</c:v>
                </c:pt>
                <c:pt idx="57" formatCode="0.00">
                  <c:v>1.8746051830780937</c:v>
                </c:pt>
                <c:pt idx="58" formatCode="0.00">
                  <c:v>1.8952233946440709</c:v>
                </c:pt>
                <c:pt idx="59" formatCode="0.00">
                  <c:v>1.9157014363226186</c:v>
                </c:pt>
                <c:pt idx="60" formatCode="0.00">
                  <c:v>1.9360359199226653</c:v>
                </c:pt>
                <c:pt idx="61" formatCode="0.00">
                  <c:v>1.9562238108677623</c:v>
                </c:pt>
                <c:pt idx="62" formatCode="0.00">
                  <c:v>1.9762624247403568</c:v>
                </c:pt>
                <c:pt idx="63" formatCode="0.00">
                  <c:v>1.9961494233673123</c:v>
                </c:pt>
                <c:pt idx="64" formatCode="0.00">
                  <c:v>2.0158828104377831</c:v>
                </c:pt>
                <c:pt idx="65" formatCode="0.00">
                  <c:v>2.0354609266524299</c:v>
                </c:pt>
                <c:pt idx="66" formatCode="0.00">
                  <c:v>2.0548824444024327</c:v>
                </c:pt>
                <c:pt idx="67" formatCode="0.00">
                  <c:v>2.0741463619884679</c:v>
                </c:pt>
                <c:pt idx="68" formatCode="0.00">
                  <c:v>2.0932519973864183</c:v>
                </c:pt>
                <c:pt idx="69" formatCode="0.00">
                  <c:v>2.1121989815762858</c:v>
                </c:pt>
                <c:pt idx="70" formatCode="0.00">
                  <c:v>2.1309872514506885</c:v>
                </c:pt>
                <c:pt idx="71" formatCode="0.00">
                  <c:v>2.1496170423223186</c:v>
                </c:pt>
                <c:pt idx="72" formatCode="0.00">
                  <c:v>2.1680888800541069</c:v>
                </c:pt>
                <c:pt idx="73" formatCode="0.00">
                  <c:v>2.186403572835903</c:v>
                </c:pt>
                <c:pt idx="74" formatCode="0.00">
                  <c:v>2.204562202634051</c:v>
                </c:pt>
                <c:pt idx="75" formatCode="0.00">
                  <c:v>2.2225661163428376</c:v>
                </c:pt>
                <c:pt idx="76" formatCode="0.00">
                  <c:v>2.2404169166651862</c:v>
                </c:pt>
                <c:pt idx="77" formatCode="0.00">
                  <c:v>2.2581164527545821</c:v>
                </c:pt>
                <c:pt idx="78" formatCode="0.00">
                  <c:v>2.2756668106469364</c:v>
                </c:pt>
                <c:pt idx="79" formatCode="0.00">
                  <c:v>2.2930703035148161</c:v>
                </c:pt>
                <c:pt idx="80" formatCode="0.00">
                  <c:v>2.3103294617744519</c:v>
                </c:pt>
                <c:pt idx="81" formatCode="0.00">
                  <c:v>2.327447023076552</c:v>
                </c:pt>
                <c:pt idx="82" formatCode="0.00">
                  <c:v>2.344425922211967</c:v>
                </c:pt>
                <c:pt idx="83" formatCode="0.00">
                  <c:v>2.3612692809615021</c:v>
                </c:pt>
                <c:pt idx="84" formatCode="0.00">
                  <c:v>2.3779803979217475</c:v>
                </c:pt>
                <c:pt idx="85" formatCode="0.00">
                  <c:v>2.3945627383320942</c:v>
                </c:pt>
                <c:pt idx="86" formatCode="0.00">
                  <c:v>2.4110199239342878</c:v>
                </c:pt>
                <c:pt idx="87" formatCode="0.00">
                  <c:v>2.4273557228890406</c:v>
                </c:pt>
                <c:pt idx="88" formatCode="0.00">
                  <c:v>2.4435740397763661</c:v>
                </c:pt>
                <c:pt idx="89" formatCode="0.00">
                  <c:v>2.4596789057028938</c:v>
                </c:pt>
                <c:pt idx="90" formatCode="0.00">
                  <c:v>2.4756744685407552</c:v>
                </c:pt>
                <c:pt idx="91" formatCode="0.00">
                  <c:v>2.4915649833178861</c:v>
                </c:pt>
                <c:pt idx="92" formatCode="0.00">
                  <c:v>2.5073548027810695</c:v>
                </c:pt>
                <c:pt idx="93" formatCode="0.00">
                  <c:v>2.52304836814942</c:v>
                </c:pt>
                <c:pt idx="94" formatCode="0.00">
                  <c:v>2.5386502000768898</c:v>
                </c:pt>
                <c:pt idx="95" formatCode="0.00">
                  <c:v>2.5541648898369496</c:v>
                </c:pt>
                <c:pt idx="96" formatCode="0.00">
                  <c:v>2.5695970907466732</c:v>
                </c:pt>
                <c:pt idx="97" formatCode="0.00">
                  <c:v>2.5849515098393692</c:v>
                </c:pt>
                <c:pt idx="98" formatCode="0.00">
                  <c:v>2.6002328998006088</c:v>
                </c:pt>
                <c:pt idx="99" formatCode="0.00">
                  <c:v>2.6154460511730466</c:v>
                </c:pt>
                <c:pt idx="100" formatCode="0.00">
                  <c:v>2.6305957848418209</c:v>
                </c:pt>
                <c:pt idx="101" formatCode="0.00">
                  <c:v>2.6456869448053033</c:v>
                </c:pt>
                <c:pt idx="102" formatCode="0.00">
                  <c:v>2.6607243912376384</c:v>
                </c:pt>
                <c:pt idx="103" formatCode="0.00">
                  <c:v>2.6757129938454542</c:v>
                </c:pt>
                <c:pt idx="104" formatCode="0.00">
                  <c:v>2.6906576255243424</c:v>
                </c:pt>
                <c:pt idx="105" formatCode="0.00">
                  <c:v>2.705563156314204</c:v>
                </c:pt>
                <c:pt idx="106" formatCode="0.00">
                  <c:v>2.7204344476557005</c:v>
                </c:pt>
                <c:pt idx="107" formatCode="0.00">
                  <c:v>2.7352763469461205</c:v>
                </c:pt>
                <c:pt idx="108" formatCode="0.00">
                  <c:v>2.7500936823947852</c:v>
                </c:pt>
                <c:pt idx="109" formatCode="0.00">
                  <c:v>2.7648912581726255</c:v>
                </c:pt>
                <c:pt idx="110" formatCode="0.00">
                  <c:v>2.7796738498569935</c:v>
                </c:pt>
                <c:pt idx="111" formatCode="0.00">
                  <c:v>2.7944462001630641</c:v>
                </c:pt>
                <c:pt idx="112" formatCode="0.00">
                  <c:v>2.8092130149600982</c:v>
                </c:pt>
                <c:pt idx="113" formatCode="0.00">
                  <c:v>2.8239789595661211</c:v>
                </c:pt>
                <c:pt idx="114" formatCode="0.00">
                  <c:v>2.83874865531482</c:v>
                </c:pt>
                <c:pt idx="115" formatCode="0.00">
                  <c:v>2.8535266763878635</c:v>
                </c:pt>
                <c:pt idx="116" formatCode="0.00">
                  <c:v>2.8683175469065372</c:v>
                </c:pt>
                <c:pt idx="117" formatCode="0.00">
                  <c:v>2.8831257382744302</c:v>
                </c:pt>
                <c:pt idx="118" formatCode="0.00">
                  <c:v>2.8979556667630679</c:v>
                </c:pt>
                <c:pt idx="119" formatCode="0.00">
                  <c:v>2.912811691333383</c:v>
                </c:pt>
                <c:pt idx="120" formatCode="0.00">
                  <c:v>2.9276981116843972</c:v>
                </c:pt>
                <c:pt idx="121" formatCode="0.00">
                  <c:v>2.942619166519322</c:v>
                </c:pt>
                <c:pt idx="122" formatCode="0.00">
                  <c:v>2.9575790320221689</c:v>
                </c:pt>
                <c:pt idx="123" formatCode="0.00">
                  <c:v>2.9725818205350407</c:v>
                </c:pt>
                <c:pt idx="124" formatCode="0.00">
                  <c:v>2.9876315794278243</c:v>
                </c:pt>
                <c:pt idx="125" formatCode="0.00">
                  <c:v>3.0027322901499955</c:v>
                </c:pt>
                <c:pt idx="126" formatCode="0.00">
                  <c:v>3.0178878674583229</c:v>
                </c:pt>
                <c:pt idx="127" formatCode="0.00">
                  <c:v>3.0331021588089557</c:v>
                </c:pt>
                <c:pt idx="128" formatCode="0.00">
                  <c:v>3.0483789439067568</c:v>
                </c:pt>
                <c:pt idx="129" formatCode="0.00">
                  <c:v>3.0637219344019755</c:v>
                </c:pt>
                <c:pt idx="130" formatCode="0.00">
                  <c:v>3.0791347737288803</c:v>
                </c:pt>
                <c:pt idx="131" formatCode="0.00">
                  <c:v>3.0946210370727609</c:v>
                </c:pt>
                <c:pt idx="132" formatCode="0.00">
                  <c:v>3.110184231461997</c:v>
                </c:pt>
                <c:pt idx="133" formatCode="0.00">
                  <c:v>3.1258277959755723</c:v>
                </c:pt>
                <c:pt idx="134" formatCode="0.00">
                  <c:v>3.1415551020561412</c:v>
                </c:pt>
                <c:pt idx="135" formatCode="0.00">
                  <c:v>3.1573694539253077</c:v>
                </c:pt>
                <c:pt idx="136" formatCode="0.00">
                  <c:v>3.1732740890898423</c:v>
                </c:pt>
                <c:pt idx="137" formatCode="0.00">
                  <c:v>3.1892721789345955</c:v>
                </c:pt>
                <c:pt idx="138" formatCode="0.00">
                  <c:v>3.2053668293926756</c:v>
                </c:pt>
                <c:pt idx="139" formatCode="0.00">
                  <c:v>3.2215610816891544</c:v>
                </c:pt>
                <c:pt idx="140" formatCode="0.00">
                  <c:v>3.2378579131505432</c:v>
                </c:pt>
                <c:pt idx="141" formatCode="0.00">
                  <c:v>3.2542602380727206</c:v>
                </c:pt>
                <c:pt idx="142" formatCode="0.00">
                  <c:v>3.2707709086434749</c:v>
                </c:pt>
                <c:pt idx="143" formatCode="0.00">
                  <c:v>3.2873927159153467</c:v>
                </c:pt>
                <c:pt idx="144" formatCode="0.00">
                  <c:v>3.3041283908174002</c:v>
                </c:pt>
                <c:pt idx="145" formatCode="0.00">
                  <c:v>3.3209806052103121</c:v>
                </c:pt>
                <c:pt idx="146" formatCode="0.00">
                  <c:v>3.3379519729703997</c:v>
                </c:pt>
                <c:pt idx="147" formatCode="0.00">
                  <c:v>3.3550450511052219</c:v>
                </c:pt>
                <c:pt idx="148" formatCode="0.00">
                  <c:v>3.3722623408931036</c:v>
                </c:pt>
                <c:pt idx="149" formatCode="0.00">
                  <c:v>3.3896062890426344</c:v>
                </c:pt>
                <c:pt idx="150" formatCode="0.00">
                  <c:v>3.4070792888703805</c:v>
                </c:pt>
                <c:pt idx="151" formatCode="0.00">
                  <c:v>3.4246836814901722</c:v>
                </c:pt>
                <c:pt idx="152" formatCode="0.00">
                  <c:v>3.4424217570138245</c:v>
                </c:pt>
                <c:pt idx="153" formatCode="0.00">
                  <c:v>3.4602957557583225</c:v>
                </c:pt>
                <c:pt idx="154" formatCode="0.00">
                  <c:v>3.4783078694564464</c:v>
                </c:pt>
                <c:pt idx="155" formatCode="0.00">
                  <c:v>3.4964602424688374</c:v>
                </c:pt>
                <c:pt idx="156" formatCode="0.00">
                  <c:v>3.5147549729954815</c:v>
                </c:pt>
                <c:pt idx="157" formatCode="0.00">
                  <c:v>3.5331941142833396</c:v>
                </c:pt>
                <c:pt idx="158" formatCode="0.00">
                  <c:v>3.5517796758274445</c:v>
                </c:pt>
                <c:pt idx="159" formatCode="0.00">
                  <c:v>3.5705136245654723</c:v>
                </c:pt>
                <c:pt idx="160" formatCode="0.00">
                  <c:v>3.5893978860625175</c:v>
                </c:pt>
                <c:pt idx="161" formatCode="0.00">
                  <c:v>3.6084343456842545</c:v>
                </c:pt>
                <c:pt idx="162" formatCode="0.00">
                  <c:v>3.6276248497590258</c:v>
                </c:pt>
                <c:pt idx="163" formatCode="0.00">
                  <c:v>3.6469712067234448</c:v>
                </c:pt>
                <c:pt idx="164" formatCode="0.00">
                  <c:v>3.6664751882549056</c:v>
                </c:pt>
                <c:pt idx="165" formatCode="0.00">
                  <c:v>3.6861385303887726</c:v>
                </c:pt>
                <c:pt idx="166" formatCode="0.00">
                  <c:v>3.7059629346145035</c:v>
                </c:pt>
                <c:pt idx="167" formatCode="0.00">
                  <c:v>3.7259500689568839</c:v>
                </c:pt>
                <c:pt idx="168" formatCode="0.00">
                  <c:v>3.7461015690393853</c:v>
                </c:pt>
                <c:pt idx="169" formatCode="0.00">
                  <c:v>3.7664190391231487</c:v>
                </c:pt>
                <c:pt idx="170" formatCode="0.00">
                  <c:v>3.7869040531323144</c:v>
                </c:pt>
                <c:pt idx="171" formatCode="0.00">
                  <c:v>3.8075581556529707</c:v>
                </c:pt>
                <c:pt idx="172" formatCode="0.00">
                  <c:v>3.8283828629155128</c:v>
                </c:pt>
                <c:pt idx="173" formatCode="0.00">
                  <c:v>3.8493796637537758</c:v>
                </c:pt>
                <c:pt idx="174" formatCode="0.00">
                  <c:v>3.8705500205424479</c:v>
                </c:pt>
                <c:pt idx="175" formatCode="0.00">
                  <c:v>3.8918953701153907</c:v>
                </c:pt>
                <c:pt idx="176" formatCode="0.00">
                  <c:v>3.9134171246576233</c:v>
                </c:pt>
                <c:pt idx="177" formatCode="0.00">
                  <c:v>3.9351166725801789</c:v>
                </c:pt>
                <c:pt idx="178" formatCode="0.00">
                  <c:v>3.9569953793720885</c:v>
                </c:pt>
                <c:pt idx="179" formatCode="0.00">
                  <c:v>3.9790545884269988</c:v>
                </c:pt>
                <c:pt idx="180" formatCode="0.00">
                  <c:v>4.0012956218532985</c:v>
                </c:pt>
                <c:pt idx="181" formatCode="0.00">
                  <c:v>4.0237197812602137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0E4-4BF5-B630-A8E0D429D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0089360"/>
        <c:axId val="500090344"/>
      </c:scatterChart>
      <c:valAx>
        <c:axId val="50008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90344"/>
        <c:crosses val="autoZero"/>
        <c:crossBetween val="midCat"/>
      </c:valAx>
      <c:valAx>
        <c:axId val="50009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089360"/>
        <c:crosses val="autoZero"/>
        <c:crossBetween val="midCat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Body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Table!$C$2</c:f>
              <c:strCache>
                <c:ptCount val="1"/>
                <c:pt idx="0">
                  <c:v>Mixed Gender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Table!$D$5:$D$31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Table!$E$5:$E$31</c:f>
            </c:numRef>
          </c:yVal>
          <c:smooth val="0"/>
          <c:extLst>
            <c:ext xmlns:c16="http://schemas.microsoft.com/office/drawing/2014/chart" uri="{C3380CC4-5D6E-409C-BE32-E72D297353CC}">
              <c16:uniqueId val="{00000000-7286-4C7A-8B38-27C45AE2FCD2}"/>
            </c:ext>
          </c:extLst>
        </c:ser>
        <c:ser>
          <c:idx val="1"/>
          <c:order val="1"/>
          <c:tx>
            <c:strRef>
              <c:f>Table!$C$2</c:f>
              <c:strCache>
                <c:ptCount val="1"/>
                <c:pt idx="0">
                  <c:v>Mixed Gender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Table!$D$5:$D$31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Table!$F$5:$F$31</c:f>
              <c:numCache>
                <c:formatCode>0.0</c:formatCode>
                <c:ptCount val="27"/>
                <c:pt idx="0">
                  <c:v>26.455471462185308</c:v>
                </c:pt>
                <c:pt idx="1">
                  <c:v>30.186967376507443</c:v>
                </c:pt>
                <c:pt idx="2">
                  <c:v>37.472492785289454</c:v>
                </c:pt>
                <c:pt idx="3">
                  <c:v>47.62098639794192</c:v>
                </c:pt>
                <c:pt idx="4">
                  <c:v>59.861738540812809</c:v>
                </c:pt>
                <c:pt idx="5">
                  <c:v>74.154931040631894</c:v>
                </c:pt>
                <c:pt idx="6">
                  <c:v>90.710893178592102</c:v>
                </c:pt>
                <c:pt idx="7">
                  <c:v>108.91039353280475</c:v>
                </c:pt>
                <c:pt idx="8">
                  <c:v>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6-4C7A-8B38-27C45AE2FCD2}"/>
            </c:ext>
          </c:extLst>
        </c:ser>
        <c:ser>
          <c:idx val="2"/>
          <c:order val="2"/>
          <c:tx>
            <c:strRef>
              <c:f>Table!$Q$2</c:f>
              <c:strCache>
                <c:ptCount val="1"/>
                <c:pt idx="0">
                  <c:v>Barrows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strRef>
              <c:f>Table!$R$5:$R$31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Table!$S$5:$S$31</c:f>
            </c:numRef>
          </c:yVal>
          <c:smooth val="0"/>
          <c:extLst>
            <c:ext xmlns:c16="http://schemas.microsoft.com/office/drawing/2014/chart" uri="{C3380CC4-5D6E-409C-BE32-E72D297353CC}">
              <c16:uniqueId val="{00000002-7286-4C7A-8B38-27C45AE2FCD2}"/>
            </c:ext>
          </c:extLst>
        </c:ser>
        <c:ser>
          <c:idx val="3"/>
          <c:order val="3"/>
          <c:tx>
            <c:strRef>
              <c:f>Table!$AE$2</c:f>
              <c:strCache>
                <c:ptCount val="1"/>
                <c:pt idx="0">
                  <c:v>Gilts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strRef>
              <c:f>Table!$AF$5:$AF$31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Table!$AG$5:$AG$31</c:f>
            </c:numRef>
          </c:yVal>
          <c:smooth val="0"/>
          <c:extLst>
            <c:ext xmlns:c16="http://schemas.microsoft.com/office/drawing/2014/chart" uri="{C3380CC4-5D6E-409C-BE32-E72D297353CC}">
              <c16:uniqueId val="{00000003-7286-4C7A-8B38-27C45AE2FCD2}"/>
            </c:ext>
          </c:extLst>
        </c:ser>
        <c:ser>
          <c:idx val="4"/>
          <c:order val="4"/>
          <c:tx>
            <c:strRef>
              <c:f>Table!$Q$2</c:f>
              <c:strCache>
                <c:ptCount val="1"/>
                <c:pt idx="0">
                  <c:v>Barrows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Table!$R$5:$R$31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Table!$T$5:$T$31</c:f>
              <c:numCache>
                <c:formatCode>0.0</c:formatCode>
                <c:ptCount val="27"/>
                <c:pt idx="0">
                  <c:v>26.259451979622177</c:v>
                </c:pt>
                <c:pt idx="1">
                  <c:v>29.977072394359841</c:v>
                </c:pt>
                <c:pt idx="2">
                  <c:v>37.235506709622463</c:v>
                </c:pt>
                <c:pt idx="3">
                  <c:v>47.346263333641275</c:v>
                </c:pt>
                <c:pt idx="4">
                  <c:v>59.541498462646494</c:v>
                </c:pt>
                <c:pt idx="5">
                  <c:v>73.781541986519855</c:v>
                </c:pt>
                <c:pt idx="6">
                  <c:v>90.488035419247183</c:v>
                </c:pt>
                <c:pt idx="7">
                  <c:v>109.2103942549421</c:v>
                </c:pt>
                <c:pt idx="8">
                  <c:v>54.995685233557055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286-4C7A-8B38-27C45AE2FCD2}"/>
            </c:ext>
          </c:extLst>
        </c:ser>
        <c:ser>
          <c:idx val="5"/>
          <c:order val="5"/>
          <c:tx>
            <c:strRef>
              <c:f>Table!$AE$2</c:f>
              <c:strCache>
                <c:ptCount val="1"/>
                <c:pt idx="0">
                  <c:v>Gilts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Table!$AF$5:$AF$31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Table!$AH$5:$AH$31</c:f>
              <c:numCache>
                <c:formatCode>0.0</c:formatCode>
                <c:ptCount val="27"/>
                <c:pt idx="0">
                  <c:v>26.652954175495758</c:v>
                </c:pt>
                <c:pt idx="1">
                  <c:v>30.398325589402354</c:v>
                </c:pt>
                <c:pt idx="2">
                  <c:v>37.710942091703771</c:v>
                </c:pt>
                <c:pt idx="3">
                  <c:v>47.897172692989905</c:v>
                </c:pt>
                <c:pt idx="4">
                  <c:v>60.183441849726485</c:v>
                </c:pt>
                <c:pt idx="5">
                  <c:v>74.529783325491323</c:v>
                </c:pt>
                <c:pt idx="6">
                  <c:v>90.935214168684382</c:v>
                </c:pt>
                <c:pt idx="7">
                  <c:v>108.61185604141477</c:v>
                </c:pt>
                <c:pt idx="8">
                  <c:v>54.404646621594239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286-4C7A-8B38-27C45AE2F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86808"/>
        <c:axId val="785888120"/>
      </c:scatterChart>
      <c:valAx>
        <c:axId val="78588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8120"/>
        <c:crosses val="autoZero"/>
        <c:crossBetween val="midCat"/>
        <c:majorUnit val="2"/>
      </c:valAx>
      <c:valAx>
        <c:axId val="785888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</a:t>
                </a:r>
              </a:p>
            </c:rich>
          </c:tx>
          <c:layout>
            <c:manualLayout>
              <c:xMode val="edge"/>
              <c:yMode val="edge"/>
              <c:x val="0"/>
              <c:y val="0.40359690228167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6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Average Daily Gain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Table!$C$2</c:f>
              <c:strCache>
                <c:ptCount val="1"/>
                <c:pt idx="0">
                  <c:v>Mixed Gender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Table!$D$5:$D$31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Table!$I$5:$I$31</c:f>
              <c:numCache>
                <c:formatCode>0.000</c:formatCode>
                <c:ptCount val="27"/>
                <c:pt idx="1">
                  <c:v>0.53307084490316214</c:v>
                </c:pt>
                <c:pt idx="2">
                  <c:v>1.0407893441117158</c:v>
                </c:pt>
                <c:pt idx="3">
                  <c:v>1.449784801807495</c:v>
                </c:pt>
                <c:pt idx="4">
                  <c:v>1.7486788775529842</c:v>
                </c:pt>
                <c:pt idx="5">
                  <c:v>2.041884642831298</c:v>
                </c:pt>
                <c:pt idx="6">
                  <c:v>2.3651374482800298</c:v>
                </c:pt>
                <c:pt idx="7">
                  <c:v>2.5999286220303781</c:v>
                </c:pt>
                <c:pt idx="8">
                  <c:v>2.7552692739421616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A-461A-B03E-E98B19430FFA}"/>
            </c:ext>
          </c:extLst>
        </c:ser>
        <c:ser>
          <c:idx val="1"/>
          <c:order val="1"/>
          <c:tx>
            <c:strRef>
              <c:f>Table!$Q$2</c:f>
              <c:strCache>
                <c:ptCount val="1"/>
                <c:pt idx="0">
                  <c:v>Barrows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Table!$R$5:$R$31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Table!$W$5:$W$31</c:f>
              <c:numCache>
                <c:formatCode>0.000</c:formatCode>
                <c:ptCount val="27"/>
                <c:pt idx="1">
                  <c:v>0.531088630676809</c:v>
                </c:pt>
                <c:pt idx="2">
                  <c:v>1.0369191878946604</c:v>
                </c:pt>
                <c:pt idx="3">
                  <c:v>1.4443938034312589</c:v>
                </c:pt>
                <c:pt idx="4">
                  <c:v>1.7421764470007457</c:v>
                </c:pt>
                <c:pt idx="5">
                  <c:v>2.0342919319819086</c:v>
                </c:pt>
                <c:pt idx="6">
                  <c:v>2.3866419189610468</c:v>
                </c:pt>
                <c:pt idx="7">
                  <c:v>2.67462269081356</c:v>
                </c:pt>
                <c:pt idx="8">
                  <c:v>2.8433291340411628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BA-461A-B03E-E98B19430FFA}"/>
            </c:ext>
          </c:extLst>
        </c:ser>
        <c:ser>
          <c:idx val="2"/>
          <c:order val="2"/>
          <c:tx>
            <c:strRef>
              <c:f>Table!$AE$2</c:f>
              <c:strCache>
                <c:ptCount val="1"/>
                <c:pt idx="0">
                  <c:v>Gilts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Table!$AF$5:$AF$31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Table!$AK$5:$AK$31</c:f>
              <c:numCache>
                <c:formatCode>0.000</c:formatCode>
                <c:ptCount val="27"/>
                <c:pt idx="1">
                  <c:v>0.53505305912951384</c:v>
                </c:pt>
                <c:pt idx="2">
                  <c:v>1.0446595003287737</c:v>
                </c:pt>
                <c:pt idx="3">
                  <c:v>1.4551758001837334</c:v>
                </c:pt>
                <c:pt idx="4">
                  <c:v>1.7551813081052257</c:v>
                </c:pt>
                <c:pt idx="5">
                  <c:v>2.0494773536806909</c:v>
                </c:pt>
                <c:pt idx="6">
                  <c:v>2.3436329775990083</c:v>
                </c:pt>
                <c:pt idx="7">
                  <c:v>2.525234553247198</c:v>
                </c:pt>
                <c:pt idx="8">
                  <c:v>2.6672094138431639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BA-461A-B03E-E98B19430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86808"/>
        <c:axId val="785888120"/>
      </c:scatterChart>
      <c:valAx>
        <c:axId val="78588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8120"/>
        <c:crosses val="autoZero"/>
        <c:crossBetween val="midCat"/>
        <c:majorUnit val="2"/>
      </c:valAx>
      <c:valAx>
        <c:axId val="785888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</a:t>
                </a:r>
              </a:p>
            </c:rich>
          </c:tx>
          <c:layout>
            <c:manualLayout>
              <c:xMode val="edge"/>
              <c:yMode val="edge"/>
              <c:x val="0"/>
              <c:y val="0.40359690228167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6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Average Daily Feed Intake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Table!$C$2</c:f>
              <c:strCache>
                <c:ptCount val="1"/>
                <c:pt idx="0">
                  <c:v>Mixed Gender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Table!$D$5:$D$31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Table!$H$5:$H$31</c:f>
              <c:numCache>
                <c:formatCode>0.00</c:formatCode>
                <c:ptCount val="27"/>
                <c:pt idx="1">
                  <c:v>0.91330263144374724</c:v>
                </c:pt>
                <c:pt idx="2">
                  <c:v>1.9463056776208216</c:v>
                </c:pt>
                <c:pt idx="3">
                  <c:v>2.9669157416600744</c:v>
                </c:pt>
                <c:pt idx="4">
                  <c:v>3.8508821442329131</c:v>
                </c:pt>
                <c:pt idx="5">
                  <c:v>4.7913616660542084</c:v>
                </c:pt>
                <c:pt idx="6">
                  <c:v>5.8917526274884109</c:v>
                </c:pt>
                <c:pt idx="7">
                  <c:v>7.0859194814083599</c:v>
                </c:pt>
                <c:pt idx="8">
                  <c:v>8.0543295524928933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9B-4227-AD71-0D38BD5F8E69}"/>
            </c:ext>
          </c:extLst>
        </c:ser>
        <c:ser>
          <c:idx val="1"/>
          <c:order val="1"/>
          <c:tx>
            <c:strRef>
              <c:f>Table!$Q$2</c:f>
              <c:strCache>
                <c:ptCount val="1"/>
                <c:pt idx="0">
                  <c:v>Barrows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Table!$R$5:$R$31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Table!$V$5:$V$31</c:f>
              <c:numCache>
                <c:formatCode>0.00</c:formatCode>
                <c:ptCount val="27"/>
                <c:pt idx="1">
                  <c:v>0.90990653224544737</c:v>
                </c:pt>
                <c:pt idx="2">
                  <c:v>1.9390683754125004</c:v>
                </c:pt>
                <c:pt idx="3">
                  <c:v>2.9558833195200589</c:v>
                </c:pt>
                <c:pt idx="4">
                  <c:v>3.8365627091272678</c:v>
                </c:pt>
                <c:pt idx="5">
                  <c:v>4.7735450749784478</c:v>
                </c:pt>
                <c:pt idx="6">
                  <c:v>5.9468176466814713</c:v>
                </c:pt>
                <c:pt idx="7">
                  <c:v>7.2897398920408643</c:v>
                </c:pt>
                <c:pt idx="8">
                  <c:v>8.3118144760696993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9B-4227-AD71-0D38BD5F8E69}"/>
            </c:ext>
          </c:extLst>
        </c:ser>
        <c:ser>
          <c:idx val="2"/>
          <c:order val="2"/>
          <c:tx>
            <c:strRef>
              <c:f>Table!$AE$2</c:f>
              <c:strCache>
                <c:ptCount val="1"/>
                <c:pt idx="0">
                  <c:v>Gilts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Table!$AF$5:$AF$31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Table!$AJ$5:$AJ$31</c:f>
              <c:numCache>
                <c:formatCode>0.00</c:formatCode>
                <c:ptCount val="27"/>
                <c:pt idx="1">
                  <c:v>0.91669873064204721</c:v>
                </c:pt>
                <c:pt idx="2">
                  <c:v>1.9535429798291433</c:v>
                </c:pt>
                <c:pt idx="3">
                  <c:v>2.9779481638000895</c:v>
                </c:pt>
                <c:pt idx="4">
                  <c:v>3.865201579338561</c:v>
                </c:pt>
                <c:pt idx="5">
                  <c:v>4.8091782571299708</c:v>
                </c:pt>
                <c:pt idx="6">
                  <c:v>5.8366876082953514</c:v>
                </c:pt>
                <c:pt idx="7">
                  <c:v>6.882099070775852</c:v>
                </c:pt>
                <c:pt idx="8">
                  <c:v>7.7968446289161148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9B-4227-AD71-0D38BD5F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86808"/>
        <c:axId val="785888120"/>
      </c:scatterChart>
      <c:valAx>
        <c:axId val="78588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8120"/>
        <c:crosses val="autoZero"/>
        <c:crossBetween val="midCat"/>
        <c:majorUnit val="2"/>
      </c:valAx>
      <c:valAx>
        <c:axId val="785888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</a:t>
                </a:r>
              </a:p>
            </c:rich>
          </c:tx>
          <c:layout>
            <c:manualLayout>
              <c:xMode val="edge"/>
              <c:yMode val="edge"/>
              <c:x val="0"/>
              <c:y val="0.40359690228167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6808"/>
        <c:crosses val="autoZero"/>
        <c:crossBetween val="midCat"/>
        <c:majorUnit val="1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Feed Conversion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Table!$C$2</c:f>
              <c:strCache>
                <c:ptCount val="1"/>
                <c:pt idx="0">
                  <c:v>Mixed Gender</c:v>
                </c:pt>
              </c:strCache>
            </c:strRef>
          </c:tx>
          <c:spPr>
            <a:ln w="25400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strRef>
              <c:f>Table!$D$5:$D$31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Table!$J$5:$J$31</c:f>
              <c:numCache>
                <c:formatCode>0.000</c:formatCode>
                <c:ptCount val="27"/>
                <c:pt idx="1">
                  <c:v>1.7132856545730955</c:v>
                </c:pt>
                <c:pt idx="2">
                  <c:v>1.870028443922952</c:v>
                </c:pt>
                <c:pt idx="3">
                  <c:v>2.0464525065796813</c:v>
                </c:pt>
                <c:pt idx="4">
                  <c:v>2.2021665576596026</c:v>
                </c:pt>
                <c:pt idx="5">
                  <c:v>2.3465388619655112</c:v>
                </c:pt>
                <c:pt idx="6">
                  <c:v>2.491082550729979</c:v>
                </c:pt>
                <c:pt idx="7">
                  <c:v>2.7254284680610614</c:v>
                </c:pt>
                <c:pt idx="8">
                  <c:v>2.923245879691819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7C-4A27-A3E4-A89A6F6D0CD2}"/>
            </c:ext>
          </c:extLst>
        </c:ser>
        <c:ser>
          <c:idx val="1"/>
          <c:order val="1"/>
          <c:tx>
            <c:strRef>
              <c:f>Table!$Q$2</c:f>
              <c:strCache>
                <c:ptCount val="1"/>
                <c:pt idx="0">
                  <c:v>Barrows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strRef>
              <c:f>Table!$R$5:$R$31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Table!$X$5:$X$31</c:f>
              <c:numCache>
                <c:formatCode>0.000</c:formatCode>
                <c:ptCount val="27"/>
                <c:pt idx="1">
                  <c:v>1.7132856545730988</c:v>
                </c:pt>
                <c:pt idx="2">
                  <c:v>1.8700284439229495</c:v>
                </c:pt>
                <c:pt idx="3">
                  <c:v>2.0464525065796813</c:v>
                </c:pt>
                <c:pt idx="4">
                  <c:v>2.2021665576596017</c:v>
                </c:pt>
                <c:pt idx="5">
                  <c:v>2.3465388619655108</c:v>
                </c:pt>
                <c:pt idx="6">
                  <c:v>2.4917092084221166</c:v>
                </c:pt>
                <c:pt idx="7">
                  <c:v>2.7255208433992197</c:v>
                </c:pt>
                <c:pt idx="8">
                  <c:v>2.9232684941599762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7C-4A27-A3E4-A89A6F6D0CD2}"/>
            </c:ext>
          </c:extLst>
        </c:ser>
        <c:ser>
          <c:idx val="2"/>
          <c:order val="2"/>
          <c:tx>
            <c:strRef>
              <c:f>Table!$AE$2</c:f>
              <c:strCache>
                <c:ptCount val="1"/>
                <c:pt idx="0">
                  <c:v>Gilts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strRef>
              <c:f>Table!$AF$5:$AF$31</c:f>
              <c:strCach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strCache>
            </c:strRef>
          </c:xVal>
          <c:yVal>
            <c:numRef>
              <c:f>Table!$AL$5:$AL$31</c:f>
              <c:numCache>
                <c:formatCode>0.000</c:formatCode>
                <c:ptCount val="27"/>
                <c:pt idx="1">
                  <c:v>1.7132856545730972</c:v>
                </c:pt>
                <c:pt idx="2">
                  <c:v>1.87002844392295</c:v>
                </c:pt>
                <c:pt idx="3">
                  <c:v>2.0464525065796777</c:v>
                </c:pt>
                <c:pt idx="4">
                  <c:v>2.2021665576596012</c:v>
                </c:pt>
                <c:pt idx="5">
                  <c:v>2.3465388619655085</c:v>
                </c:pt>
                <c:pt idx="6">
                  <c:v>2.4904443929931759</c:v>
                </c:pt>
                <c:pt idx="7">
                  <c:v>2.7253306279712368</c:v>
                </c:pt>
                <c:pt idx="8">
                  <c:v>2.9232217719574161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E7C-4A27-A3E4-A89A6F6D0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5886808"/>
        <c:axId val="785888120"/>
      </c:scatterChart>
      <c:valAx>
        <c:axId val="785886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8120"/>
        <c:crosses val="autoZero"/>
        <c:crossBetween val="midCat"/>
        <c:majorUnit val="2"/>
      </c:valAx>
      <c:valAx>
        <c:axId val="785888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F/G</a:t>
                </a:r>
              </a:p>
            </c:rich>
          </c:tx>
          <c:layout>
            <c:manualLayout>
              <c:xMode val="edge"/>
              <c:yMode val="edge"/>
              <c:x val="0"/>
              <c:y val="0.403596902281676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588680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solidFill>
        <a:schemeClr val="tx1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Body weight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38559910937218"/>
          <c:y val="5.8424361343508271E-2"/>
          <c:w val="0.86591377379113743"/>
          <c:h val="0.8359461789921470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'E-Barrows'!$I$1</c:f>
              <c:strCache>
                <c:ptCount val="1"/>
                <c:pt idx="0">
                  <c:v>Barrows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Инструкция!BarrowsAge2</c:f>
            </c:numRef>
          </c:xVal>
          <c:yVal>
            <c:numRef>
              <c:f>Инструкция!BarrowsBW2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AA2-46DB-86FF-B40F26625C31}"/>
            </c:ext>
          </c:extLst>
        </c:ser>
        <c:ser>
          <c:idx val="2"/>
          <c:order val="1"/>
          <c:tx>
            <c:strRef>
              <c:f>'E-Mixed'!$B$1</c:f>
              <c:strCache>
                <c:ptCount val="1"/>
                <c:pt idx="0">
                  <c:v>Mixed Gender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Инструкция!MixedAge2</c:f>
            </c:numRef>
          </c:xVal>
          <c:yVal>
            <c:numRef>
              <c:f>Инструкция!MixedBW2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AA2-46DB-86FF-B40F26625C31}"/>
            </c:ext>
          </c:extLst>
        </c:ser>
        <c:ser>
          <c:idx val="3"/>
          <c:order val="2"/>
          <c:tx>
            <c:strRef>
              <c:f>'E-Gilts'!$I$1</c:f>
              <c:strCache>
                <c:ptCount val="1"/>
                <c:pt idx="0">
                  <c:v>Gilts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Инструкция!GiltsAge2</c:f>
            </c:numRef>
          </c:xVal>
          <c:yVal>
            <c:numRef>
              <c:f>Инструкция!GiltsBW2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AA2-46DB-86FF-B40F26625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398704"/>
        <c:axId val="323399032"/>
      </c:scatterChart>
      <c:valAx>
        <c:axId val="323398704"/>
        <c:scaling>
          <c:orientation val="minMax"/>
          <c:min val="2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Age,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9032"/>
        <c:crosses val="autoZero"/>
        <c:crossBetween val="midCat"/>
      </c:valAx>
      <c:valAx>
        <c:axId val="32339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kg</a:t>
                </a:r>
              </a:p>
            </c:rich>
          </c:tx>
          <c:layout>
            <c:manualLayout>
              <c:xMode val="edge"/>
              <c:yMode val="edge"/>
              <c:x val="0"/>
              <c:y val="0.49409719896799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3987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953460142283622"/>
          <c:y val="9.6202995889183351E-2"/>
          <c:w val="0.39798875537733425"/>
          <c:h val="4.6413479906749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D220ECB-3D6F-4005-A317-64DC2E760EA4}">
  <sheetPr codeName="Chart18"/>
  <sheetViews>
    <sheetView zoomScale="77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5A0A1B6-5051-44A7-A2E2-1D9A80542BDF}">
  <sheetPr codeName="Chart19"/>
  <sheetViews>
    <sheetView zoomScale="77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7DAA1E-CB04-483D-8244-988F6F131049}">
  <sheetPr codeName="Chart20"/>
  <sheetViews>
    <sheetView zoomScale="77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6E06A6-5A36-480C-84AC-953FE0E5A5FA}">
  <sheetPr codeName="Chart21"/>
  <sheetViews>
    <sheetView zoomScale="77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184785</xdr:colOff>
      <xdr:row>15</xdr:row>
      <xdr:rowOff>94297</xdr:rowOff>
    </xdr:from>
    <xdr:to>
      <xdr:col>14</xdr:col>
      <xdr:colOff>489585</xdr:colOff>
      <xdr:row>29</xdr:row>
      <xdr:rowOff>170497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944796-8BD8-4933-A565-360CD1F894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179070</xdr:colOff>
      <xdr:row>0</xdr:row>
      <xdr:rowOff>114300</xdr:rowOff>
    </xdr:from>
    <xdr:to>
      <xdr:col>14</xdr:col>
      <xdr:colOff>483870</xdr:colOff>
      <xdr:row>15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60E2A12-230A-48C8-A268-955B1EBC1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28575</xdr:colOff>
      <xdr:row>0</xdr:row>
      <xdr:rowOff>9525</xdr:rowOff>
    </xdr:from>
    <xdr:to>
      <xdr:col>21</xdr:col>
      <xdr:colOff>333375</xdr:colOff>
      <xdr:row>14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D33E7B9-6869-4ADD-8472-A5E1DDC7C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518160</xdr:colOff>
      <xdr:row>15</xdr:row>
      <xdr:rowOff>89535</xdr:rowOff>
    </xdr:from>
    <xdr:to>
      <xdr:col>22</xdr:col>
      <xdr:colOff>213360</xdr:colOff>
      <xdr:row>29</xdr:row>
      <xdr:rowOff>167640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39598F2-304E-4E8A-BCB2-DD4395FD4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39299" cy="62741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B04139-0CEB-4F21-BF79-5EF1E3B841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299" cy="62741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96212B-03B0-40C7-8A33-E5A9C9DD7D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569575</xdr:colOff>
      <xdr:row>2</xdr:row>
      <xdr:rowOff>92363</xdr:rowOff>
    </xdr:from>
    <xdr:ext cx="7820121" cy="9636743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21BF37-B8BA-4643-8CA2-E97E33CAF12C}"/>
            </a:ext>
          </a:extLst>
        </xdr:cNvPr>
        <xdr:cNvSpPr txBox="1"/>
      </xdr:nvSpPr>
      <xdr:spPr>
        <a:xfrm>
          <a:off x="569575" y="1357827"/>
          <a:ext cx="7820121" cy="96367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Калькулятор кормового бюджета 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Инструмент расчета кормового бюджета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 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был разработан, чтобы помочь определить правильное количество и расход корма на голову в соответствии с уровнями и фазами потребления энергии в рационе,  целевому диапазону веса реализации и характеристиками конкретного клиента.</a:t>
          </a:r>
        </a:p>
        <a:p>
          <a:endParaRPr lang="ru-RU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Варианты использования:</a:t>
          </a:r>
        </a:p>
        <a:p>
          <a:endParaRPr lang="ru-RU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Исходные данные</a:t>
          </a:r>
        </a:p>
        <a:p>
          <a:endParaRPr lang="ru-RU" sz="14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Используйте вкладку Кормовой бюджет. </a:t>
          </a:r>
        </a:p>
        <a:p>
          <a:endParaRPr lang="ru-RU" sz="14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Введите исходные данные в желтые ячейки: 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а. Введите начальный возраст свиней в начале первой оцениваемой фазы рациона.	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б. Введите данные по среднесуточному привесу.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в. Введите  текущее значение по конверсии корма. 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г. Введите свой текущий уровень энергии в рационе для каждой фазы кормления. 	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д. Введите начальный и конечный диапазон веса животных для  каждой фазы.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</a:t>
          </a:r>
        </a:p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Выводы</a:t>
          </a:r>
        </a:p>
        <a:p>
          <a:endParaRPr lang="ru-RU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Инструмент выводит расчетную стандартизированную биологическую потребность в перевариваемом лизине в соотношении  к биологической потребности в энергии для каждого диапазона веса животных.</a:t>
          </a:r>
        </a:p>
        <a:p>
          <a:endParaRPr lang="ru-RU" sz="14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Инструмент показывает расчетный бюджет корма  в килограммах на голову и количество дней на корме для каждой фазы рациона.</a:t>
          </a:r>
        </a:p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Дополнительная информация</a:t>
          </a:r>
        </a:p>
        <a:p>
          <a:endParaRPr lang="ru-RU" sz="14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Кривые роста для потомства 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 337 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были использованы для создания базовой формы в соответствии с уровнем энергии в рационе (</a:t>
          </a:r>
          <a:r>
            <a:rPr lang="en-US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Schinkel et al., 2012). </a:t>
          </a:r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Расчётные уровни энергии распределяются следующим образом: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Низкий:  ниже 3220 ккал ОЭ/кг.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Средний: между 3220 и 3350 ккал ОЭ/кг.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- Высокий: свыше 3350 ккал ОЭ/кг.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Вычисляется средневзвешенное значение уровней энергии  в каждой фазе, чтобы определить, какая форма базовой линии используется для расчетов. Выбранные базовые формы затем корректируются в соответствии с текущими показателями роста  для определения предполагаемых бюджетов корма и количества дней на фазе кормления.</a:t>
          </a:r>
        </a:p>
        <a:p>
          <a:r>
            <a:rPr lang="ru-RU" sz="14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Инструмент подходит для моделирования бюджета для стадий доращивания и откорма.</a:t>
          </a:r>
        </a:p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ru-RU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 вопросам, связанным с этим инструментом, пожалуйста, свяжитесь с технической командой </a:t>
          </a:r>
          <a:r>
            <a:rPr lang="en-US" sz="14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PIC.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12</xdr:col>
      <xdr:colOff>330968</xdr:colOff>
      <xdr:row>2</xdr:row>
      <xdr:rowOff>101669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E14D54-AC5D-45CA-8C6C-129E13B26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68188" cy="1381829"/>
        </a:xfrm>
        <a:prstGeom prst="rect">
          <a:avLst/>
        </a:prstGeom>
      </xdr:spPr>
    </xdr:pic>
    <xdr:clientData/>
  </xdr:twoCellAnchor>
  <xdr:twoCellAnchor>
    <xdr:from>
      <xdr:col>0</xdr:col>
      <xdr:colOff>1208423</xdr:colOff>
      <xdr:row>0</xdr:row>
      <xdr:rowOff>392546</xdr:rowOff>
    </xdr:from>
    <xdr:to>
      <xdr:col>9</xdr:col>
      <xdr:colOff>515697</xdr:colOff>
      <xdr:row>0</xdr:row>
      <xdr:rowOff>882458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B2972D9-B47C-44C6-A856-7F8A663C1700}"/>
            </a:ext>
          </a:extLst>
        </xdr:cNvPr>
        <xdr:cNvSpPr txBox="1"/>
      </xdr:nvSpPr>
      <xdr:spPr>
        <a:xfrm>
          <a:off x="1208423" y="392546"/>
          <a:ext cx="5715694" cy="489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ru-RU" sz="2000" b="1">
              <a:solidFill>
                <a:srgbClr val="225480"/>
              </a:solidFill>
            </a:rPr>
            <a:t>Калькулятор</a:t>
          </a:r>
          <a:r>
            <a:rPr lang="ru-RU" sz="2000" b="1" baseline="0">
              <a:solidFill>
                <a:srgbClr val="225480"/>
              </a:solidFill>
            </a:rPr>
            <a:t> кормового бюджета </a:t>
          </a:r>
          <a:r>
            <a:rPr lang="en-US" sz="2000" b="1" baseline="0">
              <a:solidFill>
                <a:srgbClr val="225480"/>
              </a:solidFill>
            </a:rPr>
            <a:t>PIC 800</a:t>
          </a:r>
          <a:endParaRPr lang="en-US" sz="2000" b="1">
            <a:solidFill>
              <a:srgbClr val="22548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182217</xdr:colOff>
      <xdr:row>0</xdr:row>
      <xdr:rowOff>0</xdr:rowOff>
    </xdr:from>
    <xdr:to>
      <xdr:col>16</xdr:col>
      <xdr:colOff>15240</xdr:colOff>
      <xdr:row>0</xdr:row>
      <xdr:rowOff>1333500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4403A6-3732-41D2-A282-4865DEA0D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217" y="0"/>
          <a:ext cx="9624723" cy="1333500"/>
        </a:xfrm>
        <a:prstGeom prst="rect">
          <a:avLst/>
        </a:prstGeom>
      </xdr:spPr>
    </xdr:pic>
    <xdr:clientData/>
  </xdr:twoCellAnchor>
  <xdr:twoCellAnchor>
    <xdr:from>
      <xdr:col>1</xdr:col>
      <xdr:colOff>1018761</xdr:colOff>
      <xdr:row>0</xdr:row>
      <xdr:rowOff>434340</xdr:rowOff>
    </xdr:from>
    <xdr:to>
      <xdr:col>6</xdr:col>
      <xdr:colOff>811696</xdr:colOff>
      <xdr:row>0</xdr:row>
      <xdr:rowOff>1187533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656716-17B7-47B6-BE72-D9A722EAD9EF}"/>
            </a:ext>
          </a:extLst>
        </xdr:cNvPr>
        <xdr:cNvSpPr txBox="1"/>
      </xdr:nvSpPr>
      <xdr:spPr>
        <a:xfrm>
          <a:off x="1643601" y="434340"/>
          <a:ext cx="5667955" cy="753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ru-RU" sz="2000" b="1">
              <a:solidFill>
                <a:srgbClr val="225480"/>
              </a:solidFill>
            </a:rPr>
            <a:t>Калькулятор</a:t>
          </a:r>
          <a:r>
            <a:rPr lang="ru-RU" sz="2000" b="1" baseline="0">
              <a:solidFill>
                <a:srgbClr val="225480"/>
              </a:solidFill>
            </a:rPr>
            <a:t> кормового бюджета </a:t>
          </a:r>
          <a:r>
            <a:rPr lang="en-US" sz="2000" b="1" baseline="0">
              <a:solidFill>
                <a:srgbClr val="225480"/>
              </a:solidFill>
            </a:rPr>
            <a:t>PIC 800</a:t>
          </a:r>
          <a:endParaRPr lang="en-US" sz="2000" b="1">
            <a:solidFill>
              <a:srgbClr val="22548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93344</xdr:colOff>
      <xdr:row>0</xdr:row>
      <xdr:rowOff>98372</xdr:rowOff>
    </xdr:from>
    <xdr:to>
      <xdr:col>11</xdr:col>
      <xdr:colOff>131444</xdr:colOff>
      <xdr:row>17</xdr:row>
      <xdr:rowOff>125042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B70354-CA09-4D1F-A898-06BA2472A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170291</xdr:colOff>
      <xdr:row>0</xdr:row>
      <xdr:rowOff>97224</xdr:rowOff>
    </xdr:from>
    <xdr:to>
      <xdr:col>21</xdr:col>
      <xdr:colOff>206486</xdr:colOff>
      <xdr:row>17</xdr:row>
      <xdr:rowOff>123894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E3844C-C06D-49A4-8B10-106D579284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93345</xdr:colOff>
      <xdr:row>17</xdr:row>
      <xdr:rowOff>162808</xdr:rowOff>
    </xdr:from>
    <xdr:to>
      <xdr:col>11</xdr:col>
      <xdr:colOff>129540</xdr:colOff>
      <xdr:row>35</xdr:row>
      <xdr:rowOff>32506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3B2368-8338-4DF7-ADCE-405129030D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171379</xdr:colOff>
      <xdr:row>17</xdr:row>
      <xdr:rowOff>162810</xdr:rowOff>
    </xdr:from>
    <xdr:to>
      <xdr:col>21</xdr:col>
      <xdr:colOff>207574</xdr:colOff>
      <xdr:row>35</xdr:row>
      <xdr:rowOff>31365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3AEC1D3-5CB2-4387-A795-4C8C18F020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474027</xdr:colOff>
      <xdr:row>0</xdr:row>
      <xdr:rowOff>1485900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BBA150-302A-48A8-9891-EDAA9F3D7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51152" cy="1485900"/>
        </a:xfrm>
        <a:prstGeom prst="rect">
          <a:avLst/>
        </a:prstGeom>
      </xdr:spPr>
    </xdr:pic>
    <xdr:clientData/>
  </xdr:twoCellAnchor>
  <xdr:twoCellAnchor>
    <xdr:from>
      <xdr:col>1</xdr:col>
      <xdr:colOff>578069</xdr:colOff>
      <xdr:row>0</xdr:row>
      <xdr:rowOff>0</xdr:rowOff>
    </xdr:from>
    <xdr:to>
      <xdr:col>7</xdr:col>
      <xdr:colOff>366656</xdr:colOff>
      <xdr:row>0</xdr:row>
      <xdr:rowOff>1162685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C6A407D-39D7-41C0-BFBA-A4C7A23638F8}"/>
            </a:ext>
          </a:extLst>
        </xdr:cNvPr>
        <xdr:cNvSpPr txBox="1"/>
      </xdr:nvSpPr>
      <xdr:spPr>
        <a:xfrm>
          <a:off x="1188983" y="0"/>
          <a:ext cx="4840121" cy="116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solidFill>
                <a:srgbClr val="225480"/>
              </a:solidFill>
            </a:rPr>
            <a:t>Feed budget using split sex diets fo </a:t>
          </a:r>
          <a:r>
            <a:rPr lang="en-US" sz="2800" b="1" baseline="0">
              <a:solidFill>
                <a:srgbClr val="225480"/>
              </a:solidFill>
            </a:rPr>
            <a:t>PIC Pigs</a:t>
          </a:r>
          <a:endParaRPr lang="en-US" sz="2800" b="1">
            <a:solidFill>
              <a:srgbClr val="22548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283527</xdr:colOff>
      <xdr:row>0</xdr:row>
      <xdr:rowOff>1485900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D6F739-24E9-49B2-BDD8-346EBF5AC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51152" cy="1485900"/>
        </a:xfrm>
        <a:prstGeom prst="rect">
          <a:avLst/>
        </a:prstGeom>
      </xdr:spPr>
    </xdr:pic>
    <xdr:clientData/>
  </xdr:twoCellAnchor>
  <xdr:twoCellAnchor>
    <xdr:from>
      <xdr:col>1</xdr:col>
      <xdr:colOff>584637</xdr:colOff>
      <xdr:row>0</xdr:row>
      <xdr:rowOff>13137</xdr:rowOff>
    </xdr:from>
    <xdr:to>
      <xdr:col>7</xdr:col>
      <xdr:colOff>182724</xdr:colOff>
      <xdr:row>0</xdr:row>
      <xdr:rowOff>1175822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6F54D40-FC05-4933-A9B2-F80222D76C92}"/>
            </a:ext>
          </a:extLst>
        </xdr:cNvPr>
        <xdr:cNvSpPr txBox="1"/>
      </xdr:nvSpPr>
      <xdr:spPr>
        <a:xfrm>
          <a:off x="1195551" y="13137"/>
          <a:ext cx="4840121" cy="116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solidFill>
                <a:srgbClr val="225480"/>
              </a:solidFill>
            </a:rPr>
            <a:t>Feed budget using split sex diets fo </a:t>
          </a:r>
          <a:r>
            <a:rPr lang="en-US" sz="2800" b="1" baseline="0">
              <a:solidFill>
                <a:srgbClr val="225480"/>
              </a:solidFill>
            </a:rPr>
            <a:t>PIC Pigs</a:t>
          </a:r>
          <a:endParaRPr lang="en-US" sz="2800" b="1">
            <a:solidFill>
              <a:srgbClr val="22548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287337</xdr:colOff>
      <xdr:row>0</xdr:row>
      <xdr:rowOff>1485900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01B129-4E85-48A7-98E8-C0A554B13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51152" cy="1485900"/>
        </a:xfrm>
        <a:prstGeom prst="rect">
          <a:avLst/>
        </a:prstGeom>
      </xdr:spPr>
    </xdr:pic>
    <xdr:clientData/>
  </xdr:twoCellAnchor>
  <xdr:twoCellAnchor>
    <xdr:from>
      <xdr:col>1</xdr:col>
      <xdr:colOff>578069</xdr:colOff>
      <xdr:row>0</xdr:row>
      <xdr:rowOff>0</xdr:rowOff>
    </xdr:from>
    <xdr:to>
      <xdr:col>7</xdr:col>
      <xdr:colOff>176156</xdr:colOff>
      <xdr:row>0</xdr:row>
      <xdr:rowOff>1162685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D1EFBC-288F-4E12-BD7A-88AA00BDD79D}"/>
            </a:ext>
          </a:extLst>
        </xdr:cNvPr>
        <xdr:cNvSpPr txBox="1"/>
      </xdr:nvSpPr>
      <xdr:spPr>
        <a:xfrm>
          <a:off x="1188983" y="0"/>
          <a:ext cx="4840121" cy="116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solidFill>
                <a:srgbClr val="225480"/>
              </a:solidFill>
            </a:rPr>
            <a:t>Feed budget using split sex diets fo </a:t>
          </a:r>
          <a:r>
            <a:rPr lang="en-US" sz="2800" b="1" baseline="0">
              <a:solidFill>
                <a:srgbClr val="225480"/>
              </a:solidFill>
            </a:rPr>
            <a:t>PIC Pigs</a:t>
          </a:r>
          <a:endParaRPr lang="en-US" sz="2800" b="1">
            <a:solidFill>
              <a:srgbClr val="22548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9299" cy="62741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1B6D4B4-19E3-4F26-9F71-190A63CF92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299" cy="627413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6CB322-9B9B-40DF-BF17-9403FA8158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lu/Dropbox/Material%20PIC/Growth%20curves/Growth%20curve%202021/Feed%20Budget%20tool%20for%20PIC%20337%20sire%20pigs%20-%20Barrows%20and%20Gi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rsery"/>
      <sheetName val="337-Adj"/>
      <sheetName val="337"/>
      <sheetName val="Instructions"/>
      <sheetName val="Feed Budget"/>
      <sheetName val="Graphs"/>
      <sheetName val="Table Mixed Gender"/>
      <sheetName val="Table Barrows"/>
      <sheetName val="Table Gilts"/>
      <sheetName val="Table"/>
      <sheetName val="Curve-Mixed"/>
      <sheetName val="Curve-Gilts"/>
      <sheetName val="Curve-Barrows"/>
      <sheetName val="I-Mixed"/>
      <sheetName val="I-Barrows"/>
      <sheetName val="I-Gilts"/>
      <sheetName val="Adj-Mixed"/>
      <sheetName val="Adj-Barrows"/>
      <sheetName val="Adj-Gilts"/>
      <sheetName val="E-Mixed"/>
      <sheetName val="E-Barrows"/>
      <sheetName val="E-Gilts"/>
      <sheetName val="Weight"/>
      <sheetName val="ADFI"/>
      <sheetName val="ADG"/>
      <sheetName val="F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">
          <cell r="H3">
            <v>6</v>
          </cell>
          <cell r="I3">
            <v>21</v>
          </cell>
          <cell r="R3">
            <v>13.227735731092654</v>
          </cell>
        </row>
        <row r="4">
          <cell r="H4">
            <v>6.0890879786902508</v>
          </cell>
          <cell r="I4">
            <v>22</v>
          </cell>
          <cell r="J4">
            <v>89.087978690251191</v>
          </cell>
          <cell r="M4">
            <v>0.10001168226672545</v>
          </cell>
          <cell r="N4">
            <v>1.1226170324781388</v>
          </cell>
          <cell r="P4">
            <v>0.19640537315530945</v>
          </cell>
          <cell r="Q4">
            <v>0.22048801717437497</v>
          </cell>
          <cell r="R4">
            <v>13.424141104247964</v>
          </cell>
        </row>
        <row r="5">
          <cell r="H5">
            <v>6.2042353545133473</v>
          </cell>
          <cell r="I5">
            <v>23</v>
          </cell>
          <cell r="J5">
            <v>115.14737582309647</v>
          </cell>
          <cell r="M5">
            <v>0.13052141898828648</v>
          </cell>
          <cell r="N5">
            <v>1.1335162269682073</v>
          </cell>
          <cell r="P5">
            <v>0.25385650958612127</v>
          </cell>
          <cell r="Q5">
            <v>0.28775047293737877</v>
          </cell>
          <cell r="R5">
            <v>13.677997613834085</v>
          </cell>
        </row>
        <row r="6">
          <cell r="H6">
            <v>6.3448216656327858</v>
          </cell>
          <cell r="I6">
            <v>24</v>
          </cell>
          <cell r="J6">
            <v>140.58631111943862</v>
          </cell>
          <cell r="M6">
            <v>0.1608891424910196</v>
          </cell>
          <cell r="N6">
            <v>1.1444154214582969</v>
          </cell>
          <cell r="P6">
            <v>0.30993976181618443</v>
          </cell>
          <cell r="Q6">
            <v>0.35469984314555286</v>
          </cell>
          <cell r="R6">
            <v>13.987937375650269</v>
          </cell>
        </row>
        <row r="7">
          <cell r="H7">
            <v>6.5102264502120768</v>
          </cell>
          <cell r="I7">
            <v>25</v>
          </cell>
          <cell r="J7">
            <v>165.40478457929134</v>
          </cell>
          <cell r="M7">
            <v>0.19109456517224596</v>
          </cell>
          <cell r="N7">
            <v>1.1553146159483647</v>
          </cell>
          <cell r="P7">
            <v>0.36465512984552922</v>
          </cell>
          <cell r="Q7">
            <v>0.42129140129108866</v>
          </cell>
          <cell r="R7">
            <v>14.352592505495798</v>
          </cell>
        </row>
        <row r="8">
          <cell r="H8">
            <v>6.69982924641472</v>
          </cell>
          <cell r="I8">
            <v>26</v>
          </cell>
          <cell r="J8">
            <v>189.60279620264291</v>
          </cell>
          <cell r="M8">
            <v>0.22318391718094535</v>
          </cell>
          <cell r="N8">
            <v>1.1771130049285334</v>
          </cell>
          <cell r="P8">
            <v>0.41800261367412972</v>
          </cell>
          <cell r="Q8">
            <v>0.49203631264993575</v>
          </cell>
          <cell r="R8">
            <v>14.770595119169927</v>
          </cell>
        </row>
        <row r="9">
          <cell r="H9">
            <v>6.9130095924042214</v>
          </cell>
          <cell r="I9">
            <v>27</v>
          </cell>
          <cell r="J9">
            <v>213.18034598950112</v>
          </cell>
          <cell r="M9">
            <v>0.25424398330266723</v>
          </cell>
          <cell r="N9">
            <v>1.1926239359569688</v>
          </cell>
          <cell r="P9">
            <v>0.46998221330200313</v>
          </cell>
          <cell r="Q9">
            <v>0.56051203705800257</v>
          </cell>
          <cell r="R9">
            <v>15.240577332471933</v>
          </cell>
        </row>
        <row r="10">
          <cell r="H10">
            <v>7.1491470263440835</v>
          </cell>
          <cell r="I10">
            <v>28</v>
          </cell>
          <cell r="J10">
            <v>236.13743393986215</v>
          </cell>
          <cell r="M10">
            <v>0.28530404942438914</v>
          </cell>
          <cell r="N10">
            <v>1.2082118648627664</v>
          </cell>
          <cell r="P10">
            <v>0.52059392872914101</v>
          </cell>
          <cell r="Q10">
            <v>0.62898776146606949</v>
          </cell>
          <cell r="R10">
            <v>15.761171261201072</v>
          </cell>
        </row>
        <row r="11">
          <cell r="H11">
            <v>7.4076210863978105</v>
          </cell>
          <cell r="I11">
            <v>29</v>
          </cell>
          <cell r="J11">
            <v>258.47406005372687</v>
          </cell>
          <cell r="M11">
            <v>0.3163641155461111</v>
          </cell>
          <cell r="N11">
            <v>1.2239685308473551</v>
          </cell>
          <cell r="P11">
            <v>0.5698377599555452</v>
          </cell>
          <cell r="Q11">
            <v>0.69746348587413642</v>
          </cell>
          <cell r="R11">
            <v>16.331009021156618</v>
          </cell>
        </row>
        <row r="12">
          <cell r="H12">
            <v>7.6878113107289057</v>
          </cell>
          <cell r="I12">
            <v>30</v>
          </cell>
          <cell r="J12">
            <v>280.19022433109529</v>
          </cell>
          <cell r="M12">
            <v>0.34742418166783307</v>
          </cell>
          <cell r="N12">
            <v>1.2399582551362989</v>
          </cell>
          <cell r="P12">
            <v>0.61771370698121597</v>
          </cell>
          <cell r="Q12">
            <v>0.76593921028220358</v>
          </cell>
          <cell r="R12">
            <v>16.948722728137835</v>
          </cell>
        </row>
        <row r="13">
          <cell r="H13">
            <v>7.9890972375008733</v>
          </cell>
          <cell r="I13">
            <v>31</v>
          </cell>
          <cell r="J13">
            <v>301.28592677196752</v>
          </cell>
          <cell r="M13">
            <v>0.37848424778955508</v>
          </cell>
          <cell r="N13">
            <v>1.2562294291164027</v>
          </cell>
          <cell r="P13">
            <v>0.66422176980615333</v>
          </cell>
          <cell r="Q13">
            <v>0.83441493469027062</v>
          </cell>
          <cell r="R13">
            <v>17.612944497943985</v>
          </cell>
        </row>
        <row r="14">
          <cell r="H14">
            <v>8.3108584048772194</v>
          </cell>
          <cell r="I14">
            <v>32</v>
          </cell>
          <cell r="J14">
            <v>321.76116737634538</v>
          </cell>
          <cell r="M14">
            <v>0.4095443139112781</v>
          </cell>
          <cell r="N14">
            <v>1.2728208231301508</v>
          </cell>
          <cell r="P14">
            <v>0.70936194843036127</v>
          </cell>
          <cell r="Q14">
            <v>0.90289065909833999</v>
          </cell>
          <cell r="R14">
            <v>18.322306446374352</v>
          </cell>
        </row>
        <row r="15">
          <cell r="H15">
            <v>8.6524743510214428</v>
          </cell>
          <cell r="I15">
            <v>33</v>
          </cell>
          <cell r="J15">
            <v>341.61594614422398</v>
          </cell>
          <cell r="M15">
            <v>0.44060438003299879</v>
          </cell>
          <cell r="N15">
            <v>1.289765261270865</v>
          </cell>
          <cell r="P15">
            <v>0.75313424285382924</v>
          </cell>
          <cell r="Q15">
            <v>0.97136638350640414</v>
          </cell>
          <cell r="R15">
            <v>19.075440689228177</v>
          </cell>
        </row>
        <row r="16">
          <cell r="H16">
            <v>9.0133246140970478</v>
          </cell>
          <cell r="I16">
            <v>34</v>
          </cell>
          <cell r="J16">
            <v>360.85026307560543</v>
          </cell>
          <cell r="M16">
            <v>0.47166444615471825</v>
          </cell>
          <cell r="N16">
            <v>1.3070918727746501</v>
          </cell>
          <cell r="P16">
            <v>0.79553865307656169</v>
          </cell>
          <cell r="Q16">
            <v>1.0398421079144655</v>
          </cell>
          <cell r="R16">
            <v>19.870979342304736</v>
          </cell>
        </row>
        <row r="17">
          <cell r="H17">
            <v>9.3927887322675438</v>
          </cell>
          <cell r="I17">
            <v>35</v>
          </cell>
          <cell r="J17">
            <v>379.46411817049545</v>
          </cell>
          <cell r="M17">
            <v>0.50272451227644277</v>
          </cell>
          <cell r="N17">
            <v>1.3248275349464416</v>
          </cell>
          <cell r="P17">
            <v>0.83657517909857138</v>
          </cell>
          <cell r="Q17">
            <v>1.1083178323225382</v>
          </cell>
          <cell r="R17">
            <v>20.707554521403313</v>
          </cell>
        </row>
        <row r="18">
          <cell r="H18">
            <v>9.7902462436964282</v>
          </cell>
          <cell r="I18">
            <v>36</v>
          </cell>
          <cell r="J18">
            <v>397.45751142888435</v>
          </cell>
          <cell r="M18">
            <v>0.53378457839816473</v>
          </cell>
          <cell r="N18">
            <v>1.34299783762842</v>
          </cell>
          <cell r="P18">
            <v>0.87624382091983677</v>
          </cell>
          <cell r="Q18">
            <v>1.1767935567306054</v>
          </cell>
          <cell r="R18">
            <v>21.583798342323146</v>
          </cell>
        </row>
        <row r="19">
          <cell r="H19">
            <v>10.205076686547208</v>
          </cell>
          <cell r="I19">
            <v>37</v>
          </cell>
          <cell r="J19">
            <v>414.83044285077989</v>
          </cell>
          <cell r="M19">
            <v>0.56484464451988659</v>
          </cell>
          <cell r="N19">
            <v>1.3616277547958766</v>
          </cell>
          <cell r="P19">
            <v>0.91454457854037507</v>
          </cell>
          <cell r="Q19">
            <v>1.2452692811386721</v>
          </cell>
          <cell r="R19">
            <v>22.498342920863521</v>
          </cell>
        </row>
        <row r="20">
          <cell r="H20">
            <v>10.636659598983389</v>
          </cell>
          <cell r="I20">
            <v>38</v>
          </cell>
          <cell r="J20">
            <v>431.5829124361801</v>
          </cell>
          <cell r="M20">
            <v>0.59590471064160844</v>
          </cell>
          <cell r="N20">
            <v>1.3807421319761526</v>
          </cell>
          <cell r="P20">
            <v>0.95147745196018196</v>
          </cell>
          <cell r="Q20">
            <v>1.313745005546739</v>
          </cell>
          <cell r="R20">
            <v>23.449820372823705</v>
          </cell>
        </row>
        <row r="21">
          <cell r="H21">
            <v>11.08437451916847</v>
          </cell>
          <cell r="I21">
            <v>39</v>
          </cell>
          <cell r="J21">
            <v>447.71492018508116</v>
          </cell>
          <cell r="M21">
            <v>0.6269647767633304</v>
          </cell>
          <cell r="N21">
            <v>1.4003660554893929</v>
          </cell>
          <cell r="P21">
            <v>0.987042441179249</v>
          </cell>
          <cell r="Q21">
            <v>1.3822207299548057</v>
          </cell>
          <cell r="R21">
            <v>24.436862814002957</v>
          </cell>
        </row>
        <row r="22">
          <cell r="H22">
            <v>11.547600985265957</v>
          </cell>
          <cell r="I22">
            <v>40</v>
          </cell>
          <cell r="J22">
            <v>463.22646609748693</v>
          </cell>
          <cell r="M22">
            <v>0.65802484288505514</v>
          </cell>
          <cell r="N22">
            <v>1.4205251449224676</v>
          </cell>
          <cell r="P22">
            <v>1.0212395461975847</v>
          </cell>
          <cell r="Q22">
            <v>1.4506964543628789</v>
          </cell>
          <cell r="R22">
            <v>25.458102360200538</v>
          </cell>
        </row>
        <row r="23">
          <cell r="H23">
            <v>12.025718535439355</v>
          </cell>
          <cell r="I23">
            <v>41</v>
          </cell>
          <cell r="J23">
            <v>478.11755017339738</v>
          </cell>
          <cell r="M23">
            <v>0.68287289578242705</v>
          </cell>
          <cell r="N23">
            <v>1.4282531472328754</v>
          </cell>
          <cell r="P23">
            <v>1.0540687670151889</v>
          </cell>
          <cell r="Q23">
            <v>1.50547703388932</v>
          </cell>
          <cell r="R23">
            <v>26.51217112721573</v>
          </cell>
        </row>
        <row r="24">
          <cell r="H24">
            <v>12.518106707852166</v>
          </cell>
          <cell r="I24">
            <v>42</v>
          </cell>
          <cell r="J24">
            <v>492.3881724128106</v>
          </cell>
          <cell r="M24">
            <v>0.7077209486798075</v>
          </cell>
          <cell r="N24">
            <v>1.4373232102871576</v>
          </cell>
          <cell r="P24">
            <v>1.0855301036320575</v>
          </cell>
          <cell r="Q24">
            <v>1.56025761341578</v>
          </cell>
          <cell r="R24">
            <v>27.597701230847786</v>
          </cell>
        </row>
        <row r="25">
          <cell r="H25">
            <v>13.021520277357745</v>
          </cell>
          <cell r="I25">
            <v>43</v>
          </cell>
          <cell r="J25">
            <v>503.41356950557804</v>
          </cell>
          <cell r="M25">
            <v>0.73256900157718485</v>
          </cell>
          <cell r="N25">
            <v>1.4552031291025174</v>
          </cell>
          <cell r="P25">
            <v>1.1098369434776383</v>
          </cell>
          <cell r="Q25">
            <v>1.6150381929422333</v>
          </cell>
          <cell r="R25">
            <v>28.707538174325428</v>
          </cell>
        </row>
        <row r="26">
          <cell r="H26">
            <v>13.536206121090565</v>
          </cell>
          <cell r="I26">
            <v>44</v>
          </cell>
          <cell r="J26">
            <v>514.68584373281965</v>
          </cell>
          <cell r="M26">
            <v>0.75741705447456253</v>
          </cell>
          <cell r="N26">
            <v>1.4716104274042321</v>
          </cell>
          <cell r="P26">
            <v>1.1346880542386981</v>
          </cell>
          <cell r="Q26">
            <v>1.669818772468687</v>
          </cell>
          <cell r="R26">
            <v>29.84222622856413</v>
          </cell>
        </row>
        <row r="27">
          <cell r="H27">
            <v>14.062416644178242</v>
          </cell>
          <cell r="I27">
            <v>45</v>
          </cell>
          <cell r="J27">
            <v>526.21052308767685</v>
          </cell>
          <cell r="M27">
            <v>0.78226510737194288</v>
          </cell>
          <cell r="N27">
            <v>1.4866010333312976</v>
          </cell>
          <cell r="P27">
            <v>1.1600956230539698</v>
          </cell>
          <cell r="Q27">
            <v>1.7245993519951468</v>
          </cell>
          <cell r="R27">
            <v>31.002321851618099</v>
          </cell>
        </row>
        <row r="28">
          <cell r="H28">
            <v>14.600409903522564</v>
          </cell>
          <cell r="I28">
            <v>46</v>
          </cell>
          <cell r="J28">
            <v>537.99325934432181</v>
          </cell>
          <cell r="M28">
            <v>0.80711316026931201</v>
          </cell>
          <cell r="N28">
            <v>1.5002291315935434</v>
          </cell>
          <cell r="P28">
            <v>1.1860721099526472</v>
          </cell>
          <cell r="Q28">
            <v>1.7793799315215819</v>
          </cell>
          <cell r="R28">
            <v>32.188393961570746</v>
          </cell>
        </row>
        <row r="29">
          <cell r="H29">
            <v>15.150449734352225</v>
          </cell>
          <cell r="I29">
            <v>47</v>
          </cell>
          <cell r="J29">
            <v>550.03983082966033</v>
          </cell>
          <cell r="M29">
            <v>0.83568842110130181</v>
          </cell>
          <cell r="N29">
            <v>1.5193234639767439</v>
          </cell>
          <cell r="P29">
            <v>1.2126302539649427</v>
          </cell>
          <cell r="Q29">
            <v>1.8423775979770158</v>
          </cell>
          <cell r="R29">
            <v>33.401024215535685</v>
          </cell>
        </row>
        <row r="30">
          <cell r="H30">
            <v>15.71280587960922</v>
          </cell>
          <cell r="I30">
            <v>48</v>
          </cell>
          <cell r="J30">
            <v>562.35614525699452</v>
          </cell>
          <cell r="M30">
            <v>0.86426368193329217</v>
          </cell>
          <cell r="N30">
            <v>1.5368618076331808</v>
          </cell>
          <cell r="P30">
            <v>1.2397830793692461</v>
          </cell>
          <cell r="Q30">
            <v>1.9053752644324509</v>
          </cell>
          <cell r="R30">
            <v>34.640807294904938</v>
          </cell>
        </row>
        <row r="31">
          <cell r="H31">
            <v>16.287754122232471</v>
          </cell>
          <cell r="I31">
            <v>49</v>
          </cell>
          <cell r="J31">
            <v>574.94824262325153</v>
          </cell>
          <cell r="M31">
            <v>0.89283894276527009</v>
          </cell>
          <cell r="N31">
            <v>1.5529031599289957</v>
          </cell>
          <cell r="P31">
            <v>1.2675439020794188</v>
          </cell>
          <cell r="Q31">
            <v>1.9683729308878588</v>
          </cell>
          <cell r="R31">
            <v>35.908351196984356</v>
          </cell>
        </row>
        <row r="32">
          <cell r="H32">
            <v>16.875576420403497</v>
          </cell>
          <cell r="I32">
            <v>50</v>
          </cell>
          <cell r="J32">
            <v>587.82229817102746</v>
          </cell>
          <cell r="M32">
            <v>0.92141420359725146</v>
          </cell>
          <cell r="N32">
            <v>1.5675046803501234</v>
          </cell>
          <cell r="P32">
            <v>1.2959263361749833</v>
          </cell>
          <cell r="Q32">
            <v>2.0313705973432739</v>
          </cell>
          <cell r="R32">
            <v>37.204277533159335</v>
          </cell>
        </row>
        <row r="33">
          <cell r="H33">
            <v>17.476561045820446</v>
          </cell>
          <cell r="I33">
            <v>51</v>
          </cell>
          <cell r="J33">
            <v>600.98462541694789</v>
          </cell>
          <cell r="M33">
            <v>0.94998946442923538</v>
          </cell>
          <cell r="N33">
            <v>1.5807217427070732</v>
          </cell>
          <cell r="P33">
            <v>1.3249443005775161</v>
          </cell>
          <cell r="Q33">
            <v>2.0943682637986951</v>
          </cell>
          <cell r="R33">
            <v>38.529221833736855</v>
          </cell>
        </row>
        <row r="34">
          <cell r="H34">
            <v>18.091002725068329</v>
          </cell>
          <cell r="I34">
            <v>52</v>
          </cell>
          <cell r="J34">
            <v>614.44167924788064</v>
          </cell>
          <cell r="M34">
            <v>0.97856472526122917</v>
          </cell>
          <cell r="N34">
            <v>1.5926079859345812</v>
          </cell>
          <cell r="P34">
            <v>1.3546120258766272</v>
          </cell>
          <cell r="Q34">
            <v>2.1573659302541381</v>
          </cell>
          <cell r="R34">
            <v>39.883833859613482</v>
          </cell>
        </row>
        <row r="35">
          <cell r="H35">
            <v>18.719202784154728</v>
          </cell>
          <cell r="I35">
            <v>53</v>
          </cell>
          <cell r="J35">
            <v>628.20005908639996</v>
          </cell>
          <cell r="M35">
            <v>1.0071399860932071</v>
          </cell>
          <cell r="N35">
            <v>1.603215363522736</v>
          </cell>
          <cell r="P35">
            <v>1.3849440613086148</v>
          </cell>
          <cell r="Q35">
            <v>2.2203635967095456</v>
          </cell>
          <cell r="R35">
            <v>41.268777920922098</v>
          </cell>
        </row>
        <row r="36">
          <cell r="H36">
            <v>19.36146929628201</v>
          </cell>
          <cell r="I36">
            <v>54</v>
          </cell>
          <cell r="J36">
            <v>642.2665121272837</v>
          </cell>
          <cell r="M36">
            <v>1.0357152469251911</v>
          </cell>
          <cell r="N36">
            <v>1.6125941916148576</v>
          </cell>
          <cell r="P36">
            <v>1.4159552818917207</v>
          </cell>
          <cell r="Q36">
            <v>2.2833612631649669</v>
          </cell>
          <cell r="R36">
            <v>42.684733202813817</v>
          </cell>
        </row>
        <row r="37">
          <cell r="H37">
            <v>20.018117232928262</v>
          </cell>
          <cell r="I37">
            <v>55</v>
          </cell>
          <cell r="J37">
            <v>656.64793664625176</v>
          </cell>
          <cell r="M37">
            <v>1.0667753130469064</v>
          </cell>
          <cell r="N37">
            <v>1.6245772711863371</v>
          </cell>
          <cell r="P37">
            <v>1.4476608957206483</v>
          </cell>
          <cell r="Q37">
            <v>2.3518369875730194</v>
          </cell>
          <cell r="R37">
            <v>44.132394098534462</v>
          </cell>
        </row>
        <row r="38">
          <cell r="H38">
            <v>20.689468618311306</v>
          </cell>
          <cell r="I38">
            <v>56</v>
          </cell>
          <cell r="J38">
            <v>671.35138538304568</v>
          </cell>
          <cell r="M38">
            <v>1.0978353791686417</v>
          </cell>
          <cell r="N38">
            <v>1.6352619553205532</v>
          </cell>
          <cell r="P38">
            <v>1.480076451424978</v>
          </cell>
          <cell r="Q38">
            <v>2.4203127119811154</v>
          </cell>
          <cell r="R38">
            <v>45.61247054995944</v>
          </cell>
        </row>
        <row r="39">
          <cell r="H39">
            <v>21.375852687311333</v>
          </cell>
          <cell r="I39">
            <v>57</v>
          </cell>
          <cell r="J39">
            <v>686.38406900002587</v>
          </cell>
          <cell r="M39">
            <v>1.135107458514695</v>
          </cell>
          <cell r="N39">
            <v>1.65374971503695</v>
          </cell>
          <cell r="P39">
            <v>1.5132178457940679</v>
          </cell>
          <cell r="Q39">
            <v>2.5024835812707673</v>
          </cell>
          <cell r="R39">
            <v>47.125688395753514</v>
          </cell>
        </row>
        <row r="40">
          <cell r="H40">
            <v>22.077606046929766</v>
          </cell>
          <cell r="I40">
            <v>58</v>
          </cell>
          <cell r="J40">
            <v>701.75335961843109</v>
          </cell>
          <cell r="M40">
            <v>1.1723795378607675</v>
          </cell>
          <cell r="N40">
            <v>1.6706432848404646</v>
          </cell>
          <cell r="P40">
            <v>1.5471013315731723</v>
          </cell>
          <cell r="Q40">
            <v>2.5846544505604614</v>
          </cell>
          <cell r="R40">
            <v>48.672789727326688</v>
          </cell>
        </row>
        <row r="41">
          <cell r="H41">
            <v>22.795072841363378</v>
          </cell>
          <cell r="I41">
            <v>59</v>
          </cell>
          <cell r="J41">
            <v>717.46679443361188</v>
          </cell>
          <cell r="M41">
            <v>1.2096516172068337</v>
          </cell>
          <cell r="N41">
            <v>1.6860036263584384</v>
          </cell>
          <cell r="P41">
            <v>1.581743525433666</v>
          </cell>
          <cell r="Q41">
            <v>2.6668253198501413</v>
          </cell>
          <cell r="R41">
            <v>50.254533252760353</v>
          </cell>
        </row>
        <row r="42">
          <cell r="H42">
            <v>23.528194024845337</v>
          </cell>
          <cell r="I42">
            <v>60</v>
          </cell>
          <cell r="J42">
            <v>733.12118348195941</v>
          </cell>
          <cell r="M42">
            <v>1.2383464288327228</v>
          </cell>
          <cell r="N42">
            <v>1.6891428821510732</v>
          </cell>
          <cell r="P42">
            <v>1.6162555456608747</v>
          </cell>
          <cell r="Q42">
            <v>2.7300865506902654</v>
          </cell>
          <cell r="R42">
            <v>51.870788798421223</v>
          </cell>
        </row>
        <row r="43">
          <cell r="H43">
            <v>24.279978571820696</v>
          </cell>
          <cell r="I43">
            <v>61</v>
          </cell>
          <cell r="J43">
            <v>751.78454697535642</v>
          </cell>
          <cell r="M43">
            <v>1.2980121696109284</v>
          </cell>
          <cell r="N43">
            <v>1.7265746879650576</v>
          </cell>
          <cell r="P43">
            <v>1.6574012190182044</v>
          </cell>
          <cell r="Q43">
            <v>2.8616269925592626</v>
          </cell>
          <cell r="R43">
            <v>53.528190017439435</v>
          </cell>
        </row>
        <row r="44">
          <cell r="H44">
            <v>25.042361886562691</v>
          </cell>
          <cell r="I44">
            <v>62</v>
          </cell>
          <cell r="J44">
            <v>762.38331474199458</v>
          </cell>
          <cell r="M44">
            <v>1.3337183148072409</v>
          </cell>
          <cell r="N44">
            <v>1.7494064849236597</v>
          </cell>
          <cell r="P44">
            <v>1.6807675022002564</v>
          </cell>
          <cell r="Q44">
            <v>2.9403455679980706</v>
          </cell>
          <cell r="R44">
            <v>55.208957519639696</v>
          </cell>
        </row>
        <row r="45">
          <cell r="H45">
            <v>25.815196947691</v>
          </cell>
          <cell r="I45">
            <v>63</v>
          </cell>
          <cell r="J45">
            <v>772.83506112830935</v>
          </cell>
          <cell r="M45">
            <v>1.3695622998646131</v>
          </cell>
          <cell r="N45">
            <v>1.7721275453847876</v>
          </cell>
          <cell r="P45">
            <v>1.7038096587213523</v>
          </cell>
          <cell r="Q45">
            <v>3.0193680283127624</v>
          </cell>
          <cell r="R45">
            <v>56.912767178361044</v>
          </cell>
        </row>
        <row r="46">
          <cell r="H46">
            <v>26.598334463526566</v>
          </cell>
          <cell r="I46">
            <v>64</v>
          </cell>
          <cell r="J46">
            <v>783.13751583556461</v>
          </cell>
          <cell r="M46">
            <v>1.4055187987408371</v>
          </cell>
          <cell r="N46">
            <v>1.7947279632507784</v>
          </cell>
          <cell r="P46">
            <v>1.7265226834295395</v>
          </cell>
          <cell r="Q46">
            <v>3.0986385391377662</v>
          </cell>
          <cell r="R46">
            <v>58.639289861790587</v>
          </cell>
        </row>
        <row r="47">
          <cell r="H47">
            <v>27.391622975758104</v>
          </cell>
          <cell r="I47">
            <v>65</v>
          </cell>
          <cell r="J47">
            <v>793.28851223153617</v>
          </cell>
          <cell r="M47">
            <v>1.4415625575382092</v>
          </cell>
          <cell r="N47">
            <v>1.8171983273564183</v>
          </cell>
          <cell r="P47">
            <v>1.748901799718404</v>
          </cell>
          <cell r="Q47">
            <v>3.1781014251589133</v>
          </cell>
          <cell r="R47">
            <v>60.388191661508998</v>
          </cell>
        </row>
        <row r="48">
          <cell r="H48">
            <v>28.194908962891979</v>
          </cell>
          <cell r="I48">
            <v>66</v>
          </cell>
          <cell r="J48">
            <v>803.28598713387566</v>
          </cell>
          <cell r="M48">
            <v>1.4776684468560932</v>
          </cell>
          <cell r="N48">
            <v>1.8395297198304357</v>
          </cell>
          <cell r="P48">
            <v>1.7709424590494669</v>
          </cell>
          <cell r="Q48">
            <v>3.2577012855310885</v>
          </cell>
          <cell r="R48">
            <v>62.159134120558463</v>
          </cell>
        </row>
        <row r="49">
          <cell r="H49">
            <v>29.008036943424592</v>
          </cell>
          <cell r="I49">
            <v>67</v>
          </cell>
          <cell r="J49">
            <v>813.12798053261417</v>
          </cell>
          <cell r="M49">
            <v>1.5138115134138284</v>
          </cell>
          <cell r="N49">
            <v>1.8617137150073881</v>
          </cell>
          <cell r="P49">
            <v>1.7926403403404121</v>
          </cell>
          <cell r="Q49">
            <v>3.3373831076872573</v>
          </cell>
          <cell r="R49">
            <v>63.951774460898875</v>
          </cell>
        </row>
        <row r="50">
          <cell r="H50">
            <v>29.830849578675302</v>
          </cell>
          <cell r="I50">
            <v>68</v>
          </cell>
          <cell r="J50">
            <v>822.81263525070824</v>
          </cell>
          <cell r="M50">
            <v>1.5499670307300681</v>
          </cell>
          <cell r="N50">
            <v>1.8837423786738501</v>
          </cell>
          <cell r="P50">
            <v>1.8139913492167168</v>
          </cell>
          <cell r="Q50">
            <v>3.4170923790672845</v>
          </cell>
          <cell r="R50">
            <v>65.765765810115596</v>
          </cell>
        </row>
        <row r="51">
          <cell r="H51">
            <v>30.663187775215619</v>
          </cell>
          <cell r="I51">
            <v>69</v>
          </cell>
          <cell r="J51">
            <v>832.3381965403147</v>
          </cell>
          <cell r="M51">
            <v>1.5861105486519251</v>
          </cell>
          <cell r="N51">
            <v>1.9056082674623489</v>
          </cell>
          <cell r="P51">
            <v>1.8349916171215901</v>
          </cell>
          <cell r="Q51">
            <v>3.4967751963110074</v>
          </cell>
          <cell r="R51">
            <v>67.600757427237184</v>
          </cell>
        </row>
        <row r="52">
          <cell r="H52">
            <v>31.504890786830554</v>
          </cell>
          <cell r="I52">
            <v>70</v>
          </cell>
          <cell r="J52">
            <v>841.70301161493535</v>
          </cell>
          <cell r="M52">
            <v>1.6222179415357432</v>
          </cell>
          <cell r="N52">
            <v>1.9273044282249521</v>
          </cell>
          <cell r="P52">
            <v>1.8556375002845293</v>
          </cell>
          <cell r="Q52">
            <v>3.5763783714786541</v>
          </cell>
          <cell r="R52">
            <v>69.456394927521714</v>
          </cell>
        </row>
        <row r="53">
          <cell r="H53">
            <v>32.355796315946755</v>
          </cell>
          <cell r="I53">
            <v>71</v>
          </cell>
          <cell r="J53">
            <v>850.90552911619955</v>
          </cell>
          <cell r="M53">
            <v>1.6582654548914995</v>
          </cell>
          <cell r="N53">
            <v>1.9488243972440411</v>
          </cell>
          <cell r="P53">
            <v>1.8759255785457756</v>
          </cell>
          <cell r="Q53">
            <v>3.6558495348841502</v>
          </cell>
          <cell r="R53">
            <v>71.332320506067504</v>
          </cell>
        </row>
        <row r="54">
          <cell r="H54">
            <v>33.215740614461993</v>
          </cell>
          <cell r="I54">
            <v>72</v>
          </cell>
          <cell r="J54">
            <v>859.94429851523716</v>
          </cell>
          <cell r="M54">
            <v>1.6942297503130652</v>
          </cell>
          <cell r="N54">
            <v>1.9701621991543974</v>
          </cell>
          <cell r="P54">
            <v>1.8958526540365683</v>
          </cell>
          <cell r="Q54">
            <v>3.7351372341493865</v>
          </cell>
          <cell r="R54">
            <v>73.228173160104063</v>
          </cell>
        </row>
        <row r="55">
          <cell r="H55">
            <v>34.084558583910592</v>
          </cell>
          <cell r="I55">
            <v>73</v>
          </cell>
          <cell r="J55">
            <v>868.81796944860037</v>
          </cell>
          <cell r="M55">
            <v>1.7300879485292882</v>
          </cell>
          <cell r="N55">
            <v>1.9913123454701303</v>
          </cell>
          <cell r="P55">
            <v>1.9154157497151028</v>
          </cell>
          <cell r="Q55">
            <v>3.8141910291156091</v>
          </cell>
          <cell r="R55">
            <v>75.143588909819158</v>
          </cell>
        </row>
        <row r="56">
          <cell r="H56">
            <v>34.96208387489947</v>
          </cell>
          <cell r="I56">
            <v>74</v>
          </cell>
          <cell r="J56">
            <v>877.52529098887544</v>
          </cell>
          <cell r="M56">
            <v>1.7658176704229078</v>
          </cell>
          <cell r="N56">
            <v>2.0122698326255914</v>
          </cell>
          <cell r="P56">
            <v>1.9346121077585043</v>
          </cell>
          <cell r="Q56">
            <v>3.8929615822746486</v>
          </cell>
          <cell r="R56">
            <v>77.078201017577669</v>
          </cell>
        </row>
        <row r="57">
          <cell r="H57">
            <v>35.848148985750264</v>
          </cell>
          <cell r="I57">
            <v>75</v>
          </cell>
          <cell r="J57">
            <v>886.06511085079683</v>
          </cell>
          <cell r="M57">
            <v>1.8013970758787243</v>
          </cell>
          <cell r="N57">
            <v>2.033030139454457</v>
          </cell>
          <cell r="P57">
            <v>1.9534391878126098</v>
          </cell>
          <cell r="Q57">
            <v>3.971400744414471</v>
          </cell>
          <cell r="R57">
            <v>79.031640205390275</v>
          </cell>
        </row>
        <row r="58">
          <cell r="H58">
            <v>36.742585360283307</v>
          </cell>
          <cell r="I58">
            <v>76</v>
          </cell>
          <cell r="J58">
            <v>894.43637453304143</v>
          </cell>
          <cell r="M58">
            <v>1.8368049003361258</v>
          </cell>
          <cell r="N58">
            <v>2.0535892240463349</v>
          </cell>
          <cell r="P58">
            <v>1.9718946650999474</v>
          </cell>
          <cell r="Q58">
            <v>4.0494616352037092</v>
          </cell>
          <cell r="R58">
            <v>81.003534870490228</v>
          </cell>
        </row>
        <row r="59">
          <cell r="H59">
            <v>37.645223484680592</v>
          </cell>
          <cell r="I59">
            <v>77</v>
          </cell>
          <cell r="J59">
            <v>902.63812439728736</v>
          </cell>
          <cell r="M59">
            <v>1.8720204889363217</v>
          </cell>
          <cell r="N59">
            <v>2.0739435199308844</v>
          </cell>
          <cell r="P59">
            <v>1.989976428389409</v>
          </cell>
          <cell r="Q59">
            <v>4.1270987184734205</v>
          </cell>
          <cell r="R59">
            <v>82.993511298879639</v>
          </cell>
        </row>
        <row r="60">
          <cell r="H60">
            <v>38.555892983365545</v>
          </cell>
          <cell r="I60">
            <v>78</v>
          </cell>
          <cell r="J60">
            <v>910.66949868495033</v>
          </cell>
          <cell r="M60">
            <v>1.9070238281696035</v>
          </cell>
          <cell r="N60">
            <v>2.0940899315541324</v>
          </cell>
          <cell r="P60">
            <v>2.0076825778285254</v>
          </cell>
          <cell r="Q60">
            <v>4.2042678719873603</v>
          </cell>
          <cell r="R60">
            <v>85.001193876708172</v>
          </cell>
        </row>
        <row r="61">
          <cell r="H61">
            <v>39.474422713839076</v>
          </cell>
          <cell r="I61">
            <v>79</v>
          </cell>
          <cell r="J61">
            <v>918.52973047353191</v>
          </cell>
          <cell r="M61">
            <v>1.9417955749437343</v>
          </cell>
          <cell r="N61">
            <v>2.1140258290199005</v>
          </cell>
          <cell r="P61">
            <v>2.0250114226426073</v>
          </cell>
          <cell r="Q61">
            <v>4.2809264515268062</v>
          </cell>
          <cell r="R61">
            <v>87.026205299350764</v>
          </cell>
        </row>
        <row r="62">
          <cell r="H62">
            <v>40.400640860412537</v>
          </cell>
          <cell r="I62">
            <v>80</v>
          </cell>
          <cell r="J62">
            <v>926.21814657346272</v>
          </cell>
          <cell r="M62">
            <v>1.9763170830098238</v>
          </cell>
          <cell r="N62">
            <v>2.1337490420817109</v>
          </cell>
          <cell r="P62">
            <v>2.0419614787027012</v>
          </cell>
          <cell r="Q62">
            <v>4.357033349149642</v>
          </cell>
          <cell r="R62">
            <v>89.068166778053453</v>
          </cell>
        </row>
        <row r="63">
          <cell r="H63">
            <v>41.334375026779924</v>
          </cell>
          <cell r="I63">
            <v>81</v>
          </cell>
          <cell r="J63">
            <v>933.73416636739034</v>
          </cell>
          <cell r="M63">
            <v>2.0105704266981492</v>
          </cell>
          <cell r="N63">
            <v>2.153257853378221</v>
          </cell>
          <cell r="P63">
            <v>2.0585314659666571</v>
          </cell>
          <cell r="Q63">
            <v>4.4325490455188854</v>
          </cell>
          <cell r="R63">
            <v>91.126698244020119</v>
          </cell>
        </row>
        <row r="64">
          <cell r="H64">
            <v>42.27545232737338</v>
          </cell>
          <cell r="I64">
            <v>82</v>
          </cell>
          <cell r="J64">
            <v>941.07730059345374</v>
          </cell>
          <cell r="M64">
            <v>2.0445384219313576</v>
          </cell>
          <cell r="N64">
            <v>2.172550990914401</v>
          </cell>
          <cell r="P64">
            <v>2.0747203057967085</v>
          </cell>
          <cell r="Q64">
            <v>4.5074356562288678</v>
          </cell>
          <cell r="R64">
            <v>93.201418549816822</v>
          </cell>
        </row>
        <row r="65">
          <cell r="H65">
            <v>43.223699477447909</v>
          </cell>
          <cell r="I65">
            <v>83</v>
          </cell>
          <cell r="J65">
            <v>948.24715007452664</v>
          </cell>
          <cell r="M65">
            <v>2.0782046444986535</v>
          </cell>
          <cell r="N65">
            <v>2.1916276197986133</v>
          </cell>
          <cell r="P65">
            <v>2.0905271181579326</v>
          </cell>
          <cell r="Q65">
            <v>4.5816569720929241</v>
          </cell>
          <cell r="R65">
            <v>95.291945667974758</v>
          </cell>
        </row>
        <row r="66">
          <cell r="H66">
            <v>44.178942881842943</v>
          </cell>
          <cell r="I66">
            <v>84</v>
          </cell>
          <cell r="J66">
            <v>955.24340439503521</v>
          </cell>
          <cell r="M66">
            <v>2.1115534455879694</v>
          </cell>
          <cell r="N66">
            <v>2.210487333252237</v>
          </cell>
          <cell r="P66">
            <v>2.1059512187011329</v>
          </cell>
          <cell r="Q66">
            <v>4.6551784933859652</v>
          </cell>
          <cell r="R66">
            <v>97.397896886675895</v>
          </cell>
        </row>
        <row r="67">
          <cell r="H67">
            <v>45.141008722370863</v>
          </cell>
          <cell r="I67">
            <v>85</v>
          </cell>
          <cell r="J67">
            <v>962.06584052791789</v>
          </cell>
          <cell r="M67">
            <v>2.1445699645897909</v>
          </cell>
          <cell r="N67">
            <v>2.2291301429151598</v>
          </cell>
          <cell r="P67">
            <v>2.1209921157358043</v>
          </cell>
          <cell r="Q67">
            <v>4.7279674580720803</v>
          </cell>
          <cell r="R67">
            <v>99.518889002411711</v>
          </cell>
        </row>
        <row r="68">
          <cell r="H68">
            <v>46.109723043784157</v>
          </cell>
          <cell r="I68">
            <v>86</v>
          </cell>
          <cell r="J68">
            <v>968.71432141329797</v>
          </cell>
          <cell r="M68">
            <v>2.1772401391978846</v>
          </cell>
          <cell r="N68">
            <v>2.2475564684760911</v>
          </cell>
          <cell r="P68">
            <v>2.1356495070966428</v>
          </cell>
          <cell r="Q68">
            <v>4.7999928640728333</v>
          </cell>
          <cell r="R68">
            <v>101.65453850950834</v>
          </cell>
        </row>
        <row r="69">
          <cell r="H69">
            <v>47.084911838275637</v>
          </cell>
          <cell r="I69">
            <v>87</v>
          </cell>
          <cell r="J69">
            <v>975.18879449147983</v>
          </cell>
          <cell r="M69">
            <v>2.2095507128472653</v>
          </cell>
          <cell r="N69">
            <v>2.2657671266613084</v>
          </cell>
          <cell r="P69">
            <v>2.149923276909353</v>
          </cell>
          <cell r="Q69">
            <v>4.8712254856651693</v>
          </cell>
          <cell r="R69">
            <v>103.80446178641769</v>
          </cell>
        </row>
        <row r="70">
          <cell r="H70">
            <v>48.066401128467909</v>
          </cell>
          <cell r="I70">
            <v>88</v>
          </cell>
          <cell r="J70">
            <v>981.48929019227035</v>
          </cell>
          <cell r="M70">
            <v>2.2414892395413633</v>
          </cell>
          <cell r="N70">
            <v>2.2837633196203933</v>
          </cell>
          <cell r="P70">
            <v>2.1638134922601768</v>
          </cell>
          <cell r="Q70">
            <v>4.9416378841234989</v>
          </cell>
          <cell r="R70">
            <v>105.96827527867788</v>
          </cell>
        </row>
        <row r="71">
          <cell r="H71">
            <v>49.054017048851073</v>
          </cell>
          <cell r="I71">
            <v>89</v>
          </cell>
          <cell r="J71">
            <v>987.61592038316155</v>
          </cell>
          <cell r="M71">
            <v>2.2730440861321517</v>
          </cell>
          <cell r="N71">
            <v>2.3015466227501551</v>
          </cell>
          <cell r="P71">
            <v>2.1773203997747173</v>
          </cell>
          <cell r="Q71">
            <v>5.0112044127465181</v>
          </cell>
          <cell r="R71">
            <v>108.14559567845259</v>
          </cell>
        </row>
        <row r="72">
          <cell r="H72">
            <v>50.047585925629484</v>
          </cell>
          <cell r="I72">
            <v>90</v>
          </cell>
          <cell r="J72">
            <v>993.56887677841144</v>
          </cell>
          <cell r="M72">
            <v>2.3042044321286781</v>
          </cell>
          <cell r="N72">
            <v>2.3191189720031544</v>
          </cell>
          <cell r="P72">
            <v>2.1904444221105646</v>
          </cell>
          <cell r="Q72">
            <v>5.0799012164350961</v>
          </cell>
          <cell r="R72">
            <v>110.33604010056317</v>
          </cell>
        </row>
        <row r="73">
          <cell r="H73">
            <v>51.046934354941378</v>
          </cell>
          <cell r="I73">
            <v>91</v>
          </cell>
          <cell r="J73">
            <v>999.34842931189678</v>
          </cell>
          <cell r="M73">
            <v>2.3349602671179643</v>
          </cell>
          <cell r="N73">
            <v>2.3364826507264391</v>
          </cell>
          <cell r="P73">
            <v>2.2031861543700497</v>
          </cell>
          <cell r="Q73">
            <v>5.1477062260063242</v>
          </cell>
          <cell r="R73">
            <v>112.53922625493321</v>
          </cell>
        </row>
        <row r="74">
          <cell r="H74">
            <v>52.051889279416983</v>
          </cell>
          <cell r="I74">
            <v>92</v>
          </cell>
          <cell r="J74">
            <v>1004.9549244756043</v>
          </cell>
          <cell r="M74">
            <v>2.3653023858929783</v>
          </cell>
          <cell r="N74">
            <v>2.3536402760822499</v>
          </cell>
          <cell r="P74">
            <v>2.2155463604372452</v>
          </cell>
          <cell r="Q74">
            <v>5.2145991474525424</v>
          </cell>
          <cell r="R74">
            <v>114.75477261537046</v>
          </cell>
        </row>
        <row r="75">
          <cell r="H75">
            <v>53.062278063043777</v>
          </cell>
          <cell r="I75">
            <v>93</v>
          </cell>
          <cell r="J75">
            <v>1010.388783626797</v>
          </cell>
          <cell r="M75">
            <v>2.39522238138944</v>
          </cell>
          <cell r="N75">
            <v>2.37059478510022</v>
          </cell>
          <cell r="P75">
            <v>2.2275259692459044</v>
          </cell>
          <cell r="Q75">
            <v>5.2805614463696555</v>
          </cell>
          <cell r="R75">
            <v>116.98229858461636</v>
          </cell>
        </row>
        <row r="76">
          <cell r="H76">
            <v>54.077928564309673</v>
          </cell>
          <cell r="I76">
            <v>94</v>
          </cell>
          <cell r="J76">
            <v>1015.6505012658935</v>
          </cell>
          <cell r="M76">
            <v>2.424712635540184</v>
          </cell>
          <cell r="N76">
            <v>2.3873494204138668</v>
          </cell>
          <cell r="P76">
            <v>2.2391260709828376</v>
          </cell>
          <cell r="Q76">
            <v>5.345576327794455</v>
          </cell>
          <cell r="R76">
            <v>119.22142465559919</v>
          </cell>
        </row>
        <row r="77">
          <cell r="H77">
            <v>55.09866920759714</v>
          </cell>
          <cell r="I77">
            <v>95</v>
          </cell>
          <cell r="J77">
            <v>1020.7406432874652</v>
          </cell>
          <cell r="M77">
            <v>2.45376630816292</v>
          </cell>
          <cell r="N77">
            <v>2.4039077157348774</v>
          </cell>
          <cell r="P77">
            <v>2.2503479132320177</v>
          </cell>
          <cell r="Q77">
            <v>5.4096287117063273</v>
          </cell>
          <cell r="R77">
            <v>121.47177256883121</v>
          </cell>
        </row>
        <row r="78">
          <cell r="H78">
            <v>56.124329052804697</v>
          </cell>
          <cell r="I78">
            <v>96</v>
          </cell>
          <cell r="J78">
            <v>1025.6598452075536</v>
          </cell>
          <cell r="M78">
            <v>2.4823773240013081</v>
          </cell>
          <cell r="N78">
            <v>2.4202734811159266</v>
          </cell>
          <cell r="P78">
            <v>2.2611928970664863</v>
          </cell>
          <cell r="Q78">
            <v>5.4727052044577116</v>
          </cell>
          <cell r="R78">
            <v>123.73296546589771</v>
          </cell>
        </row>
        <row r="79">
          <cell r="H79">
            <v>57.154737863173288</v>
          </cell>
          <cell r="I79">
            <v>97</v>
          </cell>
          <cell r="J79">
            <v>1030.4088103685947</v>
          </cell>
          <cell r="M79">
            <v>2.5105403580438646</v>
          </cell>
          <cell r="N79">
            <v>2.4364507880574138</v>
          </cell>
          <cell r="P79">
            <v>2.271662573090889</v>
          </cell>
          <cell r="Q79">
            <v>5.5347940664078292</v>
          </cell>
          <cell r="R79">
            <v>126.0046280389886</v>
          </cell>
        </row>
        <row r="80">
          <cell r="H80">
            <v>58.18972617129895</v>
          </cell>
          <cell r="I80">
            <v>98</v>
          </cell>
          <cell r="J80">
            <v>1034.9883081256608</v>
          </cell>
          <cell r="M80">
            <v>2.538250819248526</v>
          </cell>
          <cell r="N80">
            <v>2.4524439545073102</v>
          </cell>
          <cell r="P80">
            <v>2.2817586374428229</v>
          </cell>
          <cell r="Q80">
            <v>5.5958851760414889</v>
          </cell>
          <cell r="R80">
            <v>128.28638667643142</v>
          </cell>
        </row>
        <row r="81">
          <cell r="H81">
            <v>59.229125343314294</v>
          </cell>
          <cell r="I81">
            <v>99</v>
          </cell>
          <cell r="J81">
            <v>1039.3991720153447</v>
          </cell>
          <cell r="M81">
            <v>2.5655048328024748</v>
          </cell>
          <cell r="N81">
            <v>2.4682575298074227</v>
          </cell>
          <cell r="P81">
            <v>2.2914829277559159</v>
          </cell>
          <cell r="Q81">
            <v>5.6559699908586962</v>
          </cell>
          <cell r="R81">
            <v>130.57786960418733</v>
          </cell>
        </row>
        <row r="82">
          <cell r="H82">
            <v>60.272767641224874</v>
          </cell>
          <cell r="I82">
            <v>100</v>
          </cell>
          <cell r="J82">
            <v>1043.6422979105764</v>
          </cell>
          <cell r="M82">
            <v>2.5922992210485245</v>
          </cell>
          <cell r="N82">
            <v>2.4838962796337749</v>
          </cell>
          <cell r="P82">
            <v>2.3008374190918959</v>
          </cell>
          <cell r="Q82">
            <v>5.7150415053245371</v>
          </cell>
          <cell r="R82">
            <v>132.87870702327922</v>
          </cell>
        </row>
        <row r="83">
          <cell r="H83">
            <v>61.320486283387936</v>
          </cell>
          <cell r="I83">
            <v>101</v>
          </cell>
          <cell r="J83">
            <v>1047.7186421630638</v>
          </cell>
          <cell r="M83">
            <v>2.6186314832096484</v>
          </cell>
          <cell r="N83">
            <v>2.4993651709807914</v>
          </cell>
          <cell r="P83">
            <v>2.3098242198453729</v>
          </cell>
          <cell r="Q83">
            <v>5.7730942061694037</v>
          </cell>
          <cell r="R83">
            <v>135.1885312431246</v>
          </cell>
        </row>
        <row r="84">
          <cell r="H84">
            <v>62.372115503124206</v>
          </cell>
          <cell r="I84">
            <v>102</v>
          </cell>
          <cell r="J84">
            <v>1051.6292197362711</v>
          </cell>
          <cell r="M84">
            <v>2.6444997740428819</v>
          </cell>
          <cell r="N84">
            <v>2.5146693572341716</v>
          </cell>
          <cell r="P84">
            <v>2.3184455676277604</v>
          </cell>
          <cell r="Q84">
            <v>5.8301240253289137</v>
          </cell>
          <cell r="R84">
            <v>137.50697681075235</v>
          </cell>
        </row>
        <row r="85">
          <cell r="H85">
            <v>63.427490605455077</v>
          </cell>
          <cell r="I85">
            <v>103</v>
          </cell>
          <cell r="J85">
            <v>1055.3751023308691</v>
          </cell>
          <cell r="M85">
            <v>2.6699028815525656</v>
          </cell>
          <cell r="N85">
            <v>2.5298141633774569</v>
          </cell>
          <cell r="P85">
            <v>2.3267038251346008</v>
          </cell>
          <cell r="Q85">
            <v>5.8861282908100181</v>
          </cell>
          <cell r="R85">
            <v>139.83368063588696</v>
          </cell>
        </row>
        <row r="86">
          <cell r="H86">
            <v>64.48644802195993</v>
          </cell>
          <cell r="I86">
            <v>104</v>
          </cell>
          <cell r="J86">
            <v>1058.9574165048525</v>
          </cell>
          <cell r="M86">
            <v>2.6948402038913675</v>
          </cell>
          <cell r="N86">
            <v>2.5448050713746699</v>
          </cell>
          <cell r="P86">
            <v>2.3346014760011338</v>
          </cell>
          <cell r="Q86">
            <v>5.941105675766476</v>
          </cell>
          <cell r="R86">
            <v>142.16828211188809</v>
          </cell>
        </row>
        <row r="87">
          <cell r="H87">
            <v>65.548825363751163</v>
          </cell>
          <cell r="I87">
            <v>105</v>
          </cell>
          <cell r="J87">
            <v>1062.3773417912357</v>
          </cell>
          <cell r="M87">
            <v>2.7193117255743533</v>
          </cell>
          <cell r="N87">
            <v>2.5596477057665981</v>
          </cell>
          <cell r="P87">
            <v>2.3421411206525269</v>
          </cell>
          <cell r="Q87">
            <v>5.9950561460598495</v>
          </cell>
          <cell r="R87">
            <v>144.51042323254063</v>
          </cell>
        </row>
        <row r="88">
          <cell r="H88">
            <v>66.614461472565523</v>
          </cell>
          <cell r="I88">
            <v>106</v>
          </cell>
          <cell r="J88">
            <v>1065.6361088143638</v>
          </cell>
          <cell r="M88">
            <v>2.743317993128791</v>
          </cell>
          <cell r="N88">
            <v>2.5743478195207095</v>
          </cell>
          <cell r="P88">
            <v>2.3493254721510497</v>
          </cell>
          <cell r="Q88">
            <v>6.0479809065765169</v>
          </cell>
          <cell r="R88">
            <v>146.85974870469164</v>
          </cell>
        </row>
        <row r="89">
          <cell r="H89">
            <v>67.683196469973424</v>
          </cell>
          <cell r="I89">
            <v>107</v>
          </cell>
          <cell r="J89">
            <v>1068.734997407905</v>
          </cell>
          <cell r="M89">
            <v>2.7668600902984122</v>
          </cell>
          <cell r="N89">
            <v>2.5889112801668479</v>
          </cell>
          <cell r="P89">
            <v>2.3561573520469601</v>
          </cell>
          <cell r="Q89">
            <v>6.0998823465624259</v>
          </cell>
          <cell r="R89">
            <v>149.21590605673862</v>
          </cell>
        </row>
        <row r="90">
          <cell r="H90">
            <v>68.75487180470995</v>
          </cell>
          <cell r="I90">
            <v>108</v>
          </cell>
          <cell r="J90">
            <v>1071.6753347365197</v>
          </cell>
          <cell r="M90">
            <v>2.7899396129167022</v>
          </cell>
          <cell r="N90">
            <v>2.6033440562506103</v>
          </cell>
          <cell r="P90">
            <v>2.3626396862374905</v>
          </cell>
          <cell r="Q90">
            <v>6.1507639842281785</v>
          </cell>
          <cell r="R90">
            <v>151.5785457429761</v>
          </cell>
        </row>
        <row r="91">
          <cell r="H91">
            <v>69.82933029813212</v>
          </cell>
          <cell r="I91">
            <v>109</v>
          </cell>
          <cell r="J91">
            <v>1074.4584934221643</v>
          </cell>
          <cell r="M91">
            <v>2.8125586435586647</v>
          </cell>
          <cell r="N91">
            <v>2.6176522041355255</v>
          </cell>
          <cell r="P91">
            <v>2.3687755008360574</v>
          </cell>
          <cell r="Q91">
            <v>6.2006304108657391</v>
          </cell>
          <cell r="R91">
            <v>153.94732124381218</v>
          </cell>
        </row>
        <row r="92">
          <cell r="H92">
            <v>70.906416187810777</v>
          </cell>
          <cell r="I92">
            <v>110</v>
          </cell>
          <cell r="J92">
            <v>1077.0858896786517</v>
          </cell>
          <cell r="M92">
            <v>2.834719726076782</v>
          </cell>
          <cell r="N92">
            <v>2.6318418551769533</v>
          </cell>
          <cell r="P92">
            <v>2.3745679180596704</v>
          </cell>
          <cell r="Q92">
            <v>6.2494872347098385</v>
          </cell>
          <cell r="R92">
            <v>156.32188916187187</v>
          </cell>
        </row>
        <row r="93">
          <cell r="H93">
            <v>71.9859751692656</v>
          </cell>
          <cell r="I93">
            <v>111</v>
          </cell>
          <cell r="J93">
            <v>1079.5589814548293</v>
          </cell>
          <cell r="M93">
            <v>2.8564258401196829</v>
          </cell>
          <cell r="N93">
            <v>2.6459192032938503</v>
          </cell>
          <cell r="P93">
            <v>2.3800201521353399</v>
          </cell>
          <cell r="Q93">
            <v>6.2973410247612476</v>
          </cell>
          <cell r="R93">
            <v>158.7019093140072</v>
          </cell>
        </row>
        <row r="94">
          <cell r="H94">
            <v>73.067854435854514</v>
          </cell>
          <cell r="I94">
            <v>112</v>
          </cell>
          <cell r="J94">
            <v>1081.8792665889086</v>
          </cell>
          <cell r="M94">
            <v>2.8776803757282896</v>
          </cell>
          <cell r="N94">
            <v>2.6598904929580724</v>
          </cell>
          <cell r="P94">
            <v>2.3851355052310703</v>
          </cell>
          <cell r="Q94">
            <v>6.3441992547808717</v>
          </cell>
          <cell r="R94">
            <v>161.08704481923829</v>
          </cell>
        </row>
        <row r="95">
          <cell r="H95">
            <v>74.151902716830364</v>
          </cell>
          <cell r="I95">
            <v>113</v>
          </cell>
          <cell r="J95">
            <v>1084.0482809758457</v>
          </cell>
          <cell r="M95">
            <v>2.8984871080970964</v>
          </cell>
          <cell r="N95">
            <v>2.6737620076182553</v>
          </cell>
          <cell r="P95">
            <v>2.3899173634156274</v>
          </cell>
          <cell r="Q95">
            <v>6.3900702476478966</v>
          </cell>
          <cell r="R95">
            <v>163.47696218265392</v>
          </cell>
        </row>
        <row r="96">
          <cell r="H96">
            <v>75.237970313579126</v>
          </cell>
          <cell r="I96">
            <v>114</v>
          </cell>
          <cell r="J96">
            <v>1086.0675967487598</v>
          </cell>
          <cell r="M96">
            <v>2.9188501725829825</v>
          </cell>
          <cell r="N96">
            <v>2.6875400585753781</v>
          </cell>
          <cell r="P96">
            <v>2.3943691926492496</v>
          </cell>
          <cell r="Q96">
            <v>6.4349631202636468</v>
          </cell>
          <cell r="R96">
            <v>165.87133137530316</v>
          </cell>
        </row>
        <row r="97">
          <cell r="H97">
            <v>76.325909134055976</v>
          </cell>
          <cell r="I97">
            <v>115</v>
          </cell>
          <cell r="J97">
            <v>1087.9388204768522</v>
          </cell>
          <cell r="M97">
            <v>2.9387740400379623</v>
          </cell>
          <cell r="N97">
            <v>2.7012309743206648</v>
          </cell>
          <cell r="P97">
            <v>2.3984945348107427</v>
          </cell>
          <cell r="Q97">
            <v>6.4788877291696112</v>
          </cell>
          <cell r="R97">
            <v>168.26982591011392</v>
          </cell>
        </row>
        <row r="98">
          <cell r="H98">
            <v>77.415572725436576</v>
          </cell>
          <cell r="I98">
            <v>116</v>
          </cell>
          <cell r="J98">
            <v>1089.6635913806006</v>
          </cell>
          <cell r="M98">
            <v>2.9582634925353788</v>
          </cell>
          <cell r="N98">
            <v>2.7148410903472215</v>
          </cell>
          <cell r="P98">
            <v>2.4022970037626528</v>
          </cell>
          <cell r="Q98">
            <v>6.5218546170328633</v>
          </cell>
          <cell r="R98">
            <v>170.67212291387656</v>
          </cell>
        </row>
        <row r="99">
          <cell r="H99">
            <v>78.506816305002587</v>
          </cell>
          <cell r="I99">
            <v>117</v>
          </cell>
          <cell r="J99">
            <v>1091.243579566016</v>
          </cell>
          <cell r="M99">
            <v>2.9773235995541749</v>
          </cell>
          <cell r="N99">
            <v>2.728376739442762</v>
          </cell>
          <cell r="P99">
            <v>2.4057802814584734</v>
          </cell>
          <cell r="Q99">
            <v>6.5638749601413595</v>
          </cell>
          <cell r="R99">
            <v>173.07790319533504</v>
          </cell>
        </row>
        <row r="100">
          <cell r="H100">
            <v>79.599496789282341</v>
          </cell>
          <cell r="I100">
            <v>118</v>
          </cell>
          <cell r="J100">
            <v>1092.6804842797524</v>
          </cell>
          <cell r="M100">
            <v>2.9959596946793314</v>
          </cell>
          <cell r="N100">
            <v>2.7418442424677676</v>
          </cell>
          <cell r="P100">
            <v>2.4089481140958178</v>
          </cell>
          <cell r="Q100">
            <v>6.6049605170372052</v>
          </cell>
          <cell r="R100">
            <v>175.48685130943085</v>
          </cell>
        </row>
        <row r="101">
          <cell r="H101">
            <v>80.693472821467722</v>
          </cell>
          <cell r="I101">
            <v>119</v>
          </cell>
          <cell r="J101">
            <v>1093.9760321853801</v>
          </cell>
          <cell r="M101">
            <v>3.0141773528693765</v>
          </cell>
          <cell r="N101">
            <v>2.7552498996235855</v>
          </cell>
          <cell r="P101">
            <v>2.4118043083162535</v>
          </cell>
          <cell r="Q101">
            <v>6.6451235784000877</v>
          </cell>
          <cell r="R101">
            <v>177.8986556177471</v>
          </cell>
        </row>
        <row r="102">
          <cell r="H102">
            <v>81.788604797131015</v>
          </cell>
          <cell r="I102">
            <v>120</v>
          </cell>
          <cell r="J102">
            <v>1095.1319756632993</v>
          </cell>
          <cell r="M102">
            <v>3.0319823683391633</v>
          </cell>
          <cell r="N102">
            <v>2.7685999822101377</v>
          </cell>
          <cell r="P102">
            <v>2.4143527274572527</v>
          </cell>
          <cell r="Q102">
            <v>6.6843769182871462</v>
          </cell>
          <cell r="R102">
            <v>180.31300834520434</v>
          </cell>
        </row>
        <row r="103">
          <cell r="H103">
            <v>82.884754888265434</v>
          </cell>
          <cell r="I103">
            <v>121</v>
          </cell>
          <cell r="J103">
            <v>1096.1500911344178</v>
          </cell>
          <cell r="M103">
            <v>3.0493807330960334</v>
          </cell>
          <cell r="N103">
            <v>2.7819007248726275</v>
          </cell>
          <cell r="P103">
            <v>2.4165972878565345</v>
          </cell>
          <cell r="Q103">
            <v>6.7227337468133195</v>
          </cell>
          <cell r="R103">
            <v>182.72960563306088</v>
          </cell>
        </row>
        <row r="104">
          <cell r="H104">
            <v>83.981787065674723</v>
          </cell>
          <cell r="I104">
            <v>122</v>
          </cell>
          <cell r="J104">
            <v>1097.0321774092881</v>
          </cell>
          <cell r="M104">
            <v>3.0663786161664102</v>
          </cell>
          <cell r="N104">
            <v>2.7951583183347091</v>
          </cell>
          <cell r="P104">
            <v>2.418541955212536</v>
          </cell>
          <cell r="Q104">
            <v>6.7602076643538123</v>
          </cell>
          <cell r="R104">
            <v>185.14814758827342</v>
          </cell>
        </row>
        <row r="105">
          <cell r="H105">
            <v>85.079567119738485</v>
          </cell>
          <cell r="I105">
            <v>123</v>
          </cell>
          <cell r="J105">
            <v>1097.7800540637629</v>
          </cell>
          <cell r="M105">
            <v>3.0829823435410337</v>
          </cell>
          <cell r="N105">
            <v>2.808378902612092</v>
          </cell>
          <cell r="P105">
            <v>2.4201907410033439</v>
          </cell>
          <cell r="Q105">
            <v>6.7968126173309162</v>
          </cell>
          <cell r="R105">
            <v>187.56833832927674</v>
          </cell>
        </row>
        <row r="106">
          <cell r="H106">
            <v>86.17796267958019</v>
          </cell>
          <cell r="I106">
            <v>124</v>
          </cell>
          <cell r="J106">
            <v>1098.3955598417094</v>
          </cell>
          <cell r="M106">
            <v>3.0991983788639788</v>
          </cell>
          <cell r="N106">
            <v>2.8215685607019445</v>
          </cell>
          <cell r="P106">
            <v>2.4215476989652833</v>
          </cell>
          <cell r="Q106">
            <v>6.8325628556405809</v>
          </cell>
          <cell r="R106">
            <v>189.98988602824201</v>
          </cell>
        </row>
        <row r="107">
          <cell r="H107">
            <v>87.276843230666159</v>
          </cell>
          <cell r="I107">
            <v>125</v>
          </cell>
          <cell r="J107">
            <v>1098.8805510859659</v>
          </cell>
          <cell r="M107">
            <v>3.1150333048847005</v>
          </cell>
          <cell r="N107">
            <v>2.8347333127392935</v>
          </cell>
          <cell r="P107">
            <v>2.4226169216337694</v>
          </cell>
          <cell r="Q107">
            <v>6.8674728917611656</v>
          </cell>
          <cell r="R107">
            <v>192.4125029498758</v>
          </cell>
        </row>
        <row r="108">
          <cell r="H108">
            <v>88.376080130864835</v>
          </cell>
          <cell r="I108">
            <v>126</v>
          </cell>
          <cell r="J108">
            <v>1099.2369001986744</v>
          </cell>
          <cell r="M108">
            <v>3.1304938056885256</v>
          </cell>
          <cell r="N108">
            <v>2.8478791106109385</v>
          </cell>
          <cell r="P108">
            <v>2.4234025369489225</v>
          </cell>
          <cell r="Q108">
            <v>6.9015574615783892</v>
          </cell>
          <cell r="R108">
            <v>194.83590548682471</v>
          </cell>
        </row>
        <row r="109">
          <cell r="H109">
            <v>89.475546624995644</v>
          </cell>
          <cell r="I109">
            <v>127</v>
          </cell>
          <cell r="J109">
            <v>1099.4664941308126</v>
          </cell>
          <cell r="M109">
            <v>3.1455866497153533</v>
          </cell>
          <cell r="N109">
            <v>2.8610118330182579</v>
          </cell>
          <cell r="P109">
            <v>2.4239087049255539</v>
          </cell>
          <cell r="Q109">
            <v>6.934831486947969</v>
          </cell>
          <cell r="R109">
            <v>197.25981419175025</v>
          </cell>
        </row>
        <row r="110">
          <cell r="H110">
            <v>90.575117857898576</v>
          </cell>
          <cell r="I110">
            <v>128</v>
          </cell>
          <cell r="J110">
            <v>1099.5712329029323</v>
          </cell>
          <cell r="M110">
            <v>3.1603186735738742</v>
          </cell>
          <cell r="N110">
            <v>2.8741372809749199</v>
          </cell>
          <cell r="P110">
            <v>2.4241396143919531</v>
          </cell>
          <cell r="Q110">
            <v>6.9673100400120793</v>
          </cell>
          <cell r="R110">
            <v>199.68395380614223</v>
          </cell>
        </row>
        <row r="111">
          <cell r="H111">
            <v>91.674670886054855</v>
          </cell>
          <cell r="I111">
            <v>129</v>
          </cell>
          <cell r="J111">
            <v>1099.5530281562751</v>
          </cell>
          <cell r="M111">
            <v>3.1746967666531298</v>
          </cell>
          <cell r="N111">
            <v>2.8872611737302427</v>
          </cell>
          <cell r="P111">
            <v>2.4240994797956481</v>
          </cell>
          <cell r="Q111">
            <v>6.9990083092736537</v>
          </cell>
          <cell r="R111">
            <v>202.1080532859379</v>
          </cell>
        </row>
        <row r="112">
          <cell r="H112">
            <v>92.774084687791046</v>
          </cell>
          <cell r="I112">
            <v>130</v>
          </cell>
          <cell r="J112">
            <v>1099.4138017361897</v>
          </cell>
          <cell r="M112">
            <v>3.1887278565308588</v>
          </cell>
          <cell r="N112">
            <v>2.9003891451019017</v>
          </cell>
          <cell r="P112">
            <v>2.4237925380803689</v>
          </cell>
          <cell r="Q112">
            <v>7.0299415674272892</v>
          </cell>
          <cell r="R112">
            <v>204.53184582401826</v>
          </cell>
        </row>
        <row r="113">
          <cell r="H113">
            <v>93.873240172098434</v>
          </cell>
          <cell r="I113">
            <v>131</v>
          </cell>
          <cell r="J113">
            <v>1099.1554843073827</v>
          </cell>
          <cell r="M113">
            <v>3.2024188951741741</v>
          </cell>
          <cell r="N113">
            <v>2.9135267402064895</v>
          </cell>
          <cell r="P113">
            <v>2.4232230456332031</v>
          </cell>
          <cell r="Q113">
            <v>7.0601251409369477</v>
          </cell>
          <cell r="R113">
            <v>206.95506886965148</v>
          </cell>
        </row>
        <row r="114">
          <cell r="H114">
            <v>94.97202018610038</v>
          </cell>
          <cell r="I114">
            <v>132</v>
          </cell>
          <cell r="J114">
            <v>1098.7800140019426</v>
          </cell>
          <cell r="M114">
            <v>3.2157768459253577</v>
          </cell>
          <cell r="N114">
            <v>2.9266794125722715</v>
          </cell>
          <cell r="P114">
            <v>2.4223952753039972</v>
          </cell>
          <cell r="Q114">
            <v>7.0895743813445486</v>
          </cell>
          <cell r="R114">
            <v>209.37746414495547</v>
          </cell>
        </row>
        <row r="115">
          <cell r="H115">
            <v>96.07030952120067</v>
          </cell>
          <cell r="I115">
            <v>133</v>
          </cell>
          <cell r="J115">
            <v>1098.2893351002926</v>
          </cell>
          <cell r="M115">
            <v>3.2288086712623461</v>
          </cell>
          <cell r="N115">
            <v>2.9398525216194513</v>
          </cell>
          <cell r="P115">
            <v>2.4213135134973558</v>
          </cell>
          <cell r="Q115">
            <v>7.1183046382864559</v>
          </cell>
          <cell r="R115">
            <v>211.79877765845282</v>
          </cell>
        </row>
        <row r="116">
          <cell r="H116">
            <v>97.167994917946046</v>
          </cell>
          <cell r="I116">
            <v>134</v>
          </cell>
          <cell r="J116">
            <v>1097.685396745371</v>
          </cell>
          <cell r="M116">
            <v>3.2415213213215393</v>
          </cell>
          <cell r="N116">
            <v>2.9530513304928951</v>
          </cell>
          <cell r="P116">
            <v>2.4199820573378936</v>
          </cell>
          <cell r="Q116">
            <v>7.1463312341905993</v>
          </cell>
          <cell r="R116">
            <v>214.21875971579075</v>
          </cell>
        </row>
        <row r="117">
          <cell r="H117">
            <v>98.264965069636901</v>
          </cell>
          <cell r="I117">
            <v>135</v>
          </cell>
          <cell r="J117">
            <v>1096.970151690854</v>
          </cell>
          <cell r="M117">
            <v>3.2539217231682915</v>
          </cell>
          <cell r="N117">
            <v>2.9662810042303738</v>
          </cell>
          <cell r="P117">
            <v>2.4184052119105397</v>
          </cell>
          <cell r="Q117">
            <v>7.173669440621965</v>
          </cell>
          <cell r="R117">
            <v>216.63716492770126</v>
          </cell>
        </row>
        <row r="118">
          <cell r="H118">
            <v>99.361110624719302</v>
          </cell>
          <cell r="I118">
            <v>136</v>
          </cell>
          <cell r="J118">
            <v>1096.145555082401</v>
          </cell>
          <cell r="M118">
            <v>3.2660167707981023</v>
          </cell>
          <cell r="N118">
            <v>2.9795466082536688</v>
          </cell>
          <cell r="P118">
            <v>2.4165872875736443</v>
          </cell>
          <cell r="Q118">
            <v>7.2003344562389842</v>
          </cell>
          <cell r="R118">
            <v>219.05375221527493</v>
          </cell>
        </row>
        <row r="119">
          <cell r="H119">
            <v>100.45632418799291</v>
          </cell>
          <cell r="I119">
            <v>137</v>
          </cell>
          <cell r="J119">
            <v>1095.213563273601</v>
          </cell>
          <cell r="M119">
            <v>3.2778133158496314</v>
          </cell>
          <cell r="N119">
            <v>2.9928531071622455</v>
          </cell>
          <cell r="P119">
            <v>2.4145325973485865</v>
          </cell>
          <cell r="Q119">
            <v>7.2263413863192438</v>
          </cell>
          <cell r="R119">
            <v>221.46828481262352</v>
          </cell>
        </row>
        <row r="120">
          <cell r="H120">
            <v>101.55050032066856</v>
          </cell>
          <cell r="I120">
            <v>138</v>
          </cell>
          <cell r="J120">
            <v>1094.1761326756614</v>
          </cell>
          <cell r="M120">
            <v>3.2893181590101399</v>
          </cell>
          <cell r="N120">
            <v>3.0062053638170227</v>
          </cell>
          <cell r="P120">
            <v>2.4122454543837706</v>
          </cell>
          <cell r="Q120">
            <v>7.2517052238117223</v>
          </cell>
          <cell r="R120">
            <v>223.88053026700726</v>
          </cell>
        </row>
        <row r="121">
          <cell r="H121">
            <v>102.64353553930961</v>
          </cell>
          <cell r="I121">
            <v>139</v>
          </cell>
          <cell r="J121">
            <v>1093.035218641046</v>
          </cell>
          <cell r="M121">
            <v>3.3005380420913752</v>
          </cell>
          <cell r="N121">
            <v>3.0196081386973828</v>
          </cell>
          <cell r="P121">
            <v>2.4097301694934727</v>
          </cell>
          <cell r="Q121">
            <v>7.276440831867113</v>
          </cell>
          <cell r="R121">
            <v>226.29026043650074</v>
          </cell>
        </row>
        <row r="122">
          <cell r="H122">
            <v>103.73532831369133</v>
          </cell>
          <cell r="I122">
            <v>140</v>
          </cell>
          <cell r="J122">
            <v>1091.7927743817193</v>
          </cell>
          <cell r="M122">
            <v>3.3114796407542775</v>
          </cell>
          <cell r="N122">
            <v>3.0330660895146182</v>
          </cell>
          <cell r="P122">
            <v>2.4069910487729747</v>
          </cell>
          <cell r="Q122">
            <v>7.3005629277985369</v>
          </cell>
          <cell r="R122">
            <v>228.69725148527371</v>
          </cell>
        </row>
        <row r="123">
          <cell r="H123">
            <v>104.82577906361227</v>
          </cell>
          <cell r="I123">
            <v>141</v>
          </cell>
          <cell r="J123">
            <v>1090.4507499209449</v>
          </cell>
          <cell r="M123">
            <v>3.3221495578580207</v>
          </cell>
          <cell r="N123">
            <v>3.0465837710679451</v>
          </cell>
          <cell r="P123">
            <v>2.4040323912876773</v>
          </cell>
          <cell r="Q123">
            <v>7.3240860684187012</v>
          </cell>
          <cell r="R123">
            <v>231.10128387656141</v>
          </cell>
        </row>
        <row r="124">
          <cell r="H124">
            <v>105.91479015469183</v>
          </cell>
          <cell r="I124">
            <v>142</v>
          </cell>
          <cell r="J124">
            <v>1089.0110910795511</v>
          </cell>
          <cell r="M124">
            <v>3.3325543174104411</v>
          </cell>
          <cell r="N124">
            <v>3.0601656353259319</v>
          </cell>
          <cell r="P124">
            <v>2.4008584868381959</v>
          </cell>
          <cell r="Q124">
            <v>7.347024636702864</v>
          </cell>
          <cell r="R124">
            <v>233.5021423633996</v>
          </cell>
        </row>
        <row r="125">
          <cell r="H125">
            <v>107.0022658931876</v>
          </cell>
          <cell r="I125">
            <v>143</v>
          </cell>
          <cell r="J125">
            <v>1087.4757384957666</v>
          </cell>
          <cell r="M125">
            <v>3.3427003590952848</v>
          </cell>
          <cell r="N125">
            <v>3.0738160317204151</v>
          </cell>
          <cell r="P125">
            <v>2.3974736137994705</v>
          </cell>
          <cell r="Q125">
            <v>7.3693928297234912</v>
          </cell>
          <cell r="R125">
            <v>235.89961597719909</v>
          </cell>
        </row>
        <row r="126">
          <cell r="H126">
            <v>108.0881125198667</v>
          </cell>
          <cell r="I126">
            <v>144</v>
          </cell>
          <cell r="J126">
            <v>1085.8466266790983</v>
          </cell>
          <cell r="M126">
            <v>3.3525940333506044</v>
          </cell>
          <cell r="N126">
            <v>3.0875392076356296</v>
          </cell>
          <cell r="P126">
            <v>2.3938820370349227</v>
          </cell>
          <cell r="Q126">
            <v>7.3912046477999711</v>
          </cell>
          <cell r="R126">
            <v>238.29349801423399</v>
          </cell>
        </row>
        <row r="127">
          <cell r="H127">
            <v>109.17223820296418</v>
          </cell>
          <cell r="I127">
            <v>145</v>
          </cell>
          <cell r="J127">
            <v>1084.1256830974851</v>
          </cell>
          <cell r="M127">
            <v>3.3622415969737229</v>
          </cell>
          <cell r="N127">
            <v>3.1013393090802635</v>
          </cell>
          <cell r="P127">
            <v>2.3900880058839724</v>
          </cell>
          <cell r="Q127">
            <v>7.4124738848092235</v>
          </cell>
          <cell r="R127">
            <v>240.68358602011796</v>
          </cell>
        </row>
        <row r="128">
          <cell r="H128">
            <v>110.25455303026199</v>
          </cell>
          <cell r="I128">
            <v>146</v>
          </cell>
          <cell r="J128">
            <v>1082.3148272978015</v>
          </cell>
          <cell r="M128">
            <v>3.3716492092283055</v>
          </cell>
          <cell r="N128">
            <v>3.1152203815282191</v>
          </cell>
          <cell r="P128">
            <v>2.3860957522230839</v>
          </cell>
          <cell r="Q128">
            <v>7.4332141196032584</v>
          </cell>
          <cell r="R128">
            <v>243.06968177234106</v>
          </cell>
        </row>
        <row r="129">
          <cell r="H129">
            <v>111.33496900032156</v>
          </cell>
          <cell r="I129">
            <v>147</v>
          </cell>
          <cell r="J129">
            <v>1080.4159700595746</v>
          </cell>
          <cell r="M129">
            <v>3.3808229284269582</v>
          </cell>
          <cell r="N129">
            <v>3.1291863709128052</v>
          </cell>
          <cell r="P129">
            <v>2.3819094886000278</v>
          </cell>
          <cell r="Q129">
            <v>7.4534387084750957</v>
          </cell>
          <cell r="R129">
            <v>245.45159126094109</v>
          </cell>
        </row>
        <row r="130">
          <cell r="H130">
            <v>112.41340001290301</v>
          </cell>
          <cell r="I130">
            <v>148</v>
          </cell>
          <cell r="J130">
            <v>1078.431012581442</v>
          </cell>
          <cell r="M130">
            <v>3.3897687089658226</v>
          </cell>
          <cell r="N130">
            <v>3.1432411247630276</v>
          </cell>
          <cell r="P130">
            <v>2.3775334064403286</v>
          </cell>
          <cell r="Q130">
            <v>7.4731607786211711</v>
          </cell>
          <cell r="R130">
            <v>247.82912466738145</v>
          </cell>
        </row>
        <row r="131">
          <cell r="H131">
            <v>113.48976185860258</v>
          </cell>
          <cell r="I131">
            <v>149</v>
          </cell>
          <cell r="J131">
            <v>1076.3618456995687</v>
          </cell>
          <cell r="M131">
            <v>3.3984923987856086</v>
          </cell>
          <cell r="N131">
            <v>3.1573883934698541</v>
          </cell>
          <cell r="P131">
            <v>2.3729716743241704</v>
          </cell>
          <cell r="Q131">
            <v>7.4923932225438632</v>
          </cell>
          <cell r="R131">
            <v>250.20209634170558</v>
          </cell>
        </row>
        <row r="132">
          <cell r="H132">
            <v>114.56397220774132</v>
          </cell>
          <cell r="I132">
            <v>150</v>
          </cell>
          <cell r="J132">
            <v>1074.2103491387415</v>
          </cell>
          <cell r="M132">
            <v>3.4069997372356986</v>
          </cell>
          <cell r="N132">
            <v>3.1716318316680652</v>
          </cell>
          <cell r="P132">
            <v>2.368228436335341</v>
          </cell>
          <cell r="Q132">
            <v>7.5111486933426557</v>
          </cell>
          <cell r="R132">
            <v>252.57032477804091</v>
          </cell>
        </row>
        <row r="133">
          <cell r="H133">
            <v>115.63595059853606</v>
          </cell>
          <cell r="I133">
            <v>151</v>
          </cell>
          <cell r="J133">
            <v>1071.9783907947337</v>
          </cell>
          <cell r="M133">
            <v>3.4152963533160583</v>
          </cell>
          <cell r="N133">
            <v>3.1859749997236944</v>
          </cell>
          <cell r="P133">
            <v>2.3633078104791174</v>
          </cell>
          <cell r="Q133">
            <v>7.5294396008382112</v>
          </cell>
          <cell r="R133">
            <v>254.93363258852008</v>
          </cell>
        </row>
        <row r="134">
          <cell r="H134">
            <v>116.70561842458424</v>
          </cell>
          <cell r="I134">
            <v>152</v>
          </cell>
          <cell r="J134">
            <v>1069.667826048189</v>
          </cell>
          <cell r="M134">
            <v>3.4233877642755743</v>
          </cell>
          <cell r="N134">
            <v>3.2004213653158424</v>
          </cell>
          <cell r="P134">
            <v>2.3582138871696388</v>
          </cell>
          <cell r="Q134">
            <v>7.5472781084822351</v>
          </cell>
          <cell r="R134">
            <v>257.29184647568968</v>
          </cell>
        </row>
        <row r="135">
          <cell r="H135">
            <v>117.77289892169298</v>
          </cell>
          <cell r="I135">
            <v>153</v>
          </cell>
          <cell r="J135">
            <v>1067.2804971087405</v>
          </cell>
          <cell r="M135">
            <v>3.4312793745419801</v>
          </cell>
          <cell r="N135">
            <v>3.2149743051028334</v>
          </cell>
          <cell r="P135">
            <v>2.3529507277839361</v>
          </cell>
          <cell r="Q135">
            <v>7.5646761309983681</v>
          </cell>
          <cell r="R135">
            <v>259.64479720347367</v>
          </cell>
        </row>
        <row r="136">
          <cell r="H136">
            <v>118.83771715408352</v>
          </cell>
          <cell r="I136">
            <v>154</v>
          </cell>
          <cell r="J136">
            <v>1064.8182323905392</v>
          </cell>
          <cell r="M136">
            <v>3.43897647496338</v>
          </cell>
          <cell r="N136">
            <v>3.2296371064597627</v>
          </cell>
          <cell r="P136">
            <v>2.3475223632852096</v>
          </cell>
          <cell r="Q136">
            <v>7.5816453327100275</v>
          </cell>
          <cell r="R136">
            <v>261.99231956675885</v>
          </cell>
        </row>
        <row r="137">
          <cell r="H137">
            <v>119.90000000000005</v>
          </cell>
          <cell r="I137">
            <v>155</v>
          </cell>
          <cell r="J137">
            <v>1062.2828459165298</v>
          </cell>
          <cell r="M137">
            <v>3.4464842423381281</v>
          </cell>
          <cell r="N137">
            <v>3.2444129692827022</v>
          </cell>
          <cell r="P137">
            <v>2.3419327929094789</v>
          </cell>
          <cell r="Q137">
            <v>7.5981971265039752</v>
          </cell>
          <cell r="R137">
            <v>264.33425235966837</v>
          </cell>
        </row>
        <row r="138">
          <cell r="H138" t="str">
            <v xml:space="preserve"> </v>
          </cell>
          <cell r="I138" t="str">
            <v xml:space="preserve"> </v>
          </cell>
          <cell r="J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H139" t="str">
            <v xml:space="preserve"> </v>
          </cell>
          <cell r="I139" t="str">
            <v xml:space="preserve"> </v>
          </cell>
          <cell r="J139" t="str">
            <v xml:space="preserve"> </v>
          </cell>
          <cell r="M139" t="str">
            <v xml:space="preserve"> </v>
          </cell>
          <cell r="N139" t="str">
            <v xml:space="preserve"> </v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H140" t="str">
            <v xml:space="preserve"> </v>
          </cell>
          <cell r="I140" t="str">
            <v xml:space="preserve"> </v>
          </cell>
          <cell r="J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H141" t="str">
            <v xml:space="preserve"> </v>
          </cell>
          <cell r="I141" t="str">
            <v xml:space="preserve"> </v>
          </cell>
          <cell r="J141" t="str">
            <v xml:space="preserve"> </v>
          </cell>
          <cell r="M141" t="str">
            <v xml:space="preserve"> </v>
          </cell>
          <cell r="N141" t="str">
            <v xml:space="preserve"> </v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H149" t="str">
            <v xml:space="preserve"> </v>
          </cell>
          <cell r="I149" t="str">
            <v xml:space="preserve"> </v>
          </cell>
          <cell r="J149" t="str">
            <v xml:space="preserve"> </v>
          </cell>
          <cell r="M149" t="str">
            <v xml:space="preserve"> </v>
          </cell>
          <cell r="N149" t="str">
            <v xml:space="preserve"> </v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H150" t="str">
            <v xml:space="preserve"> </v>
          </cell>
          <cell r="I150" t="str">
            <v xml:space="preserve"> </v>
          </cell>
          <cell r="J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H151" t="str">
            <v xml:space="preserve"> </v>
          </cell>
          <cell r="I151" t="str">
            <v xml:space="preserve"> </v>
          </cell>
          <cell r="J151" t="str">
            <v xml:space="preserve"> </v>
          </cell>
          <cell r="M151" t="str">
            <v xml:space="preserve"> </v>
          </cell>
          <cell r="N151" t="str">
            <v xml:space="preserve"> </v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H154" t="str">
            <v xml:space="preserve"> </v>
          </cell>
          <cell r="I154" t="str">
            <v xml:space="preserve"> </v>
          </cell>
          <cell r="J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H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M155" t="str">
            <v xml:space="preserve"> </v>
          </cell>
          <cell r="N155" t="str">
            <v xml:space="preserve"> </v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H156" t="str">
            <v xml:space="preserve"> </v>
          </cell>
          <cell r="I156" t="str">
            <v xml:space="preserve"> </v>
          </cell>
          <cell r="J156" t="str">
            <v xml:space="preserve"> </v>
          </cell>
          <cell r="M156" t="str">
            <v xml:space="preserve"> </v>
          </cell>
          <cell r="N156" t="str">
            <v xml:space="preserve"> </v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H157" t="str">
            <v xml:space="preserve"> </v>
          </cell>
          <cell r="I157" t="str">
            <v xml:space="preserve"> </v>
          </cell>
          <cell r="J157" t="str">
            <v xml:space="preserve"> </v>
          </cell>
          <cell r="M157" t="str">
            <v xml:space="preserve"> </v>
          </cell>
          <cell r="N157" t="str">
            <v xml:space="preserve"> </v>
          </cell>
          <cell r="P157" t="str">
            <v/>
          </cell>
          <cell r="Q157" t="str">
            <v/>
          </cell>
          <cell r="R157" t="str">
            <v/>
          </cell>
        </row>
        <row r="158">
          <cell r="H158" t="str">
            <v xml:space="preserve"> </v>
          </cell>
          <cell r="I158" t="str">
            <v xml:space="preserve"> </v>
          </cell>
          <cell r="J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H159" t="str">
            <v xml:space="preserve"> </v>
          </cell>
          <cell r="I159" t="str">
            <v xml:space="preserve"> </v>
          </cell>
          <cell r="J159" t="str">
            <v xml:space="preserve"> </v>
          </cell>
          <cell r="M159" t="str">
            <v xml:space="preserve"> </v>
          </cell>
          <cell r="N159" t="str">
            <v xml:space="preserve"> </v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M160" t="str">
            <v xml:space="preserve"> </v>
          </cell>
          <cell r="N160" t="str">
            <v xml:space="preserve"> </v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H161" t="str">
            <v xml:space="preserve"> </v>
          </cell>
          <cell r="I161" t="str">
            <v xml:space="preserve"> </v>
          </cell>
          <cell r="J161" t="str">
            <v xml:space="preserve"> </v>
          </cell>
          <cell r="M161" t="str">
            <v xml:space="preserve"> </v>
          </cell>
          <cell r="N161" t="str">
            <v xml:space="preserve"> </v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M165" t="str">
            <v xml:space="preserve"> </v>
          </cell>
          <cell r="N165" t="str">
            <v xml:space="preserve"> </v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H166" t="str">
            <v xml:space="preserve"> </v>
          </cell>
          <cell r="I166" t="str">
            <v xml:space="preserve"> </v>
          </cell>
          <cell r="J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M167" t="str">
            <v xml:space="preserve"> </v>
          </cell>
          <cell r="N167" t="str">
            <v xml:space="preserve"> </v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H168" t="str">
            <v xml:space="preserve"> </v>
          </cell>
          <cell r="I168" t="str">
            <v xml:space="preserve"> </v>
          </cell>
          <cell r="J168" t="str">
            <v xml:space="preserve"> </v>
          </cell>
          <cell r="M168" t="str">
            <v xml:space="preserve"> </v>
          </cell>
          <cell r="N168" t="str">
            <v xml:space="preserve"> </v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H169" t="str">
            <v xml:space="preserve"> </v>
          </cell>
          <cell r="I169" t="str">
            <v xml:space="preserve"> </v>
          </cell>
          <cell r="J169" t="str">
            <v xml:space="preserve"> </v>
          </cell>
          <cell r="M169" t="str">
            <v xml:space="preserve"> </v>
          </cell>
          <cell r="N169" t="str">
            <v xml:space="preserve"> </v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H171" t="str">
            <v xml:space="preserve"> </v>
          </cell>
          <cell r="I171" t="str">
            <v xml:space="preserve"> </v>
          </cell>
          <cell r="J171" t="str">
            <v xml:space="preserve"> </v>
          </cell>
          <cell r="M171" t="str">
            <v xml:space="preserve"> </v>
          </cell>
          <cell r="N171" t="str">
            <v xml:space="preserve"> </v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H172" t="str">
            <v xml:space="preserve"> </v>
          </cell>
          <cell r="I172" t="str">
            <v xml:space="preserve"> </v>
          </cell>
          <cell r="J172" t="str">
            <v xml:space="preserve"> </v>
          </cell>
          <cell r="M172" t="str">
            <v xml:space="preserve"> </v>
          </cell>
          <cell r="N172" t="str">
            <v xml:space="preserve"> </v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H173" t="str">
            <v xml:space="preserve"> </v>
          </cell>
          <cell r="I173" t="str">
            <v xml:space="preserve"> </v>
          </cell>
          <cell r="J173" t="str">
            <v xml:space="preserve"> </v>
          </cell>
          <cell r="M173" t="str">
            <v xml:space="preserve"> </v>
          </cell>
          <cell r="N173" t="str">
            <v xml:space="preserve"> </v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M176" t="str">
            <v xml:space="preserve"> </v>
          </cell>
          <cell r="N176" t="str">
            <v xml:space="preserve"> </v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H177" t="str">
            <v xml:space="preserve"> </v>
          </cell>
          <cell r="I177" t="str">
            <v xml:space="preserve"> </v>
          </cell>
          <cell r="J177" t="str">
            <v xml:space="preserve"> </v>
          </cell>
          <cell r="M177" t="str">
            <v xml:space="preserve"> </v>
          </cell>
          <cell r="N177" t="str">
            <v xml:space="preserve"> </v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H178" t="str">
            <v/>
          </cell>
          <cell r="I178" t="str">
            <v xml:space="preserve"> </v>
          </cell>
          <cell r="J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H179" t="str">
            <v xml:space="preserve"> </v>
          </cell>
          <cell r="I179" t="str">
            <v xml:space="preserve"> </v>
          </cell>
          <cell r="J179" t="str">
            <v xml:space="preserve"> </v>
          </cell>
          <cell r="M179" t="str">
            <v xml:space="preserve"> </v>
          </cell>
          <cell r="N179" t="str">
            <v xml:space="preserve"> </v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H180" t="str">
            <v xml:space="preserve"> </v>
          </cell>
          <cell r="I180" t="str">
            <v xml:space="preserve"> </v>
          </cell>
          <cell r="J180" t="str">
            <v xml:space="preserve"> </v>
          </cell>
          <cell r="M180" t="str">
            <v xml:space="preserve"> </v>
          </cell>
          <cell r="N180" t="str">
            <v xml:space="preserve"> </v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M181" t="str">
            <v xml:space="preserve"> </v>
          </cell>
          <cell r="N181" t="str">
            <v xml:space="preserve"> </v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H182" t="str">
            <v xml:space="preserve"> </v>
          </cell>
          <cell r="I182" t="str">
            <v xml:space="preserve"> </v>
          </cell>
          <cell r="J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H183" t="str">
            <v xml:space="preserve"> </v>
          </cell>
          <cell r="I183" t="str">
            <v xml:space="preserve"> </v>
          </cell>
          <cell r="J183" t="str">
            <v xml:space="preserve"> </v>
          </cell>
          <cell r="M183" t="str">
            <v xml:space="preserve"> </v>
          </cell>
          <cell r="N183" t="str">
            <v xml:space="preserve"> </v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H184" t="str">
            <v xml:space="preserve"> </v>
          </cell>
          <cell r="I184" t="str">
            <v xml:space="preserve"> </v>
          </cell>
          <cell r="J184" t="str">
            <v xml:space="preserve"> </v>
          </cell>
          <cell r="M184" t="str">
            <v xml:space="preserve"> </v>
          </cell>
          <cell r="N184" t="str">
            <v xml:space="preserve"> </v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P185" t="str">
            <v/>
          </cell>
          <cell r="Q185" t="str">
            <v/>
          </cell>
          <cell r="R185" t="str">
            <v/>
          </cell>
        </row>
      </sheetData>
      <sheetData sheetId="11">
        <row r="3">
          <cell r="H3">
            <v>6.0580105212632942</v>
          </cell>
          <cell r="I3">
            <v>21</v>
          </cell>
          <cell r="R3">
            <v>13.355627038574953</v>
          </cell>
        </row>
        <row r="4">
          <cell r="H4">
            <v>6.1475270980272505</v>
          </cell>
          <cell r="I4">
            <v>22</v>
          </cell>
          <cell r="J4">
            <v>89.516576763955968</v>
          </cell>
          <cell r="M4">
            <v>0.10049283376435376</v>
          </cell>
          <cell r="N4">
            <v>1.1226170324781388</v>
          </cell>
          <cell r="P4">
            <v>0.19735027016427981</v>
          </cell>
          <cell r="Q4">
            <v>0.22154877465058276</v>
          </cell>
          <cell r="R4">
            <v>13.552977308739234</v>
          </cell>
        </row>
        <row r="5">
          <cell r="H5">
            <v>6.2632284424575069</v>
          </cell>
          <cell r="I5">
            <v>23</v>
          </cell>
          <cell r="J5">
            <v>115.70134443025678</v>
          </cell>
          <cell r="M5">
            <v>0.13114935139373368</v>
          </cell>
          <cell r="N5">
            <v>1.1335162269682073</v>
          </cell>
          <cell r="P5">
            <v>0.25507780130926094</v>
          </cell>
          <cell r="Q5">
            <v>0.28913482692341952</v>
          </cell>
          <cell r="R5">
            <v>13.808055110048493</v>
          </cell>
        </row>
        <row r="6">
          <cell r="H6">
            <v>6.404491107704863</v>
          </cell>
          <cell r="I6">
            <v>24</v>
          </cell>
          <cell r="J6">
            <v>141.26266524735641</v>
          </cell>
          <cell r="M6">
            <v>0.16166317258537571</v>
          </cell>
          <cell r="N6">
            <v>1.1444154214582969</v>
          </cell>
          <cell r="P6">
            <v>0.31143086742697285</v>
          </cell>
          <cell r="Q6">
            <v>0.35640628740156211</v>
          </cell>
          <cell r="R6">
            <v>14.119485977475465</v>
          </cell>
        </row>
        <row r="7">
          <cell r="H7">
            <v>6.5706916469201255</v>
          </cell>
          <cell r="I7">
            <v>25</v>
          </cell>
          <cell r="J7">
            <v>166.20053921526264</v>
          </cell>
          <cell r="M7">
            <v>0.19201391213389227</v>
          </cell>
          <cell r="N7">
            <v>1.1553146159483647</v>
          </cell>
          <cell r="P7">
            <v>0.36640946851743256</v>
          </cell>
          <cell r="Q7">
            <v>0.42331821440006201</v>
          </cell>
          <cell r="R7">
            <v>14.485895445992897</v>
          </cell>
        </row>
        <row r="8">
          <cell r="H8">
            <v>6.7612066132540933</v>
          </cell>
          <cell r="I8">
            <v>26</v>
          </cell>
          <cell r="J8">
            <v>190.51496633396769</v>
          </cell>
          <cell r="M8">
            <v>0.22425764450523511</v>
          </cell>
          <cell r="N8">
            <v>1.1771130049285334</v>
          </cell>
          <cell r="P8">
            <v>0.42001360458062309</v>
          </cell>
          <cell r="Q8">
            <v>0.49440347619876207</v>
          </cell>
          <cell r="R8">
            <v>14.905909050573522</v>
          </cell>
        </row>
        <row r="9">
          <cell r="H9">
            <v>6.9754125598575705</v>
          </cell>
          <cell r="I9">
            <v>27</v>
          </cell>
          <cell r="J9">
            <v>214.2059466034774</v>
          </cell>
          <cell r="M9">
            <v>0.25546713914362745</v>
          </cell>
          <cell r="N9">
            <v>1.1926239359569688</v>
          </cell>
          <cell r="P9">
            <v>0.47224327561655721</v>
          </cell>
          <cell r="Q9">
            <v>0.56320863409502997</v>
          </cell>
          <cell r="R9">
            <v>15.378152326190078</v>
          </cell>
        </row>
        <row r="10">
          <cell r="H10">
            <v>7.2126860398813593</v>
          </cell>
          <cell r="I10">
            <v>28</v>
          </cell>
          <cell r="J10">
            <v>237.27348002378884</v>
          </cell>
          <cell r="M10">
            <v>0.2866766337820203</v>
          </cell>
          <cell r="N10">
            <v>1.2082118648627664</v>
          </cell>
          <cell r="P10">
            <v>0.52309848162522843</v>
          </cell>
          <cell r="Q10">
            <v>0.63201379199129892</v>
          </cell>
          <cell r="R10">
            <v>15.901250807815307</v>
          </cell>
        </row>
        <row r="11">
          <cell r="H11">
            <v>7.4724036064762611</v>
          </cell>
          <cell r="I11">
            <v>29</v>
          </cell>
          <cell r="J11">
            <v>259.717566594902</v>
          </cell>
          <cell r="M11">
            <v>0.31788612842041225</v>
          </cell>
          <cell r="N11">
            <v>1.2239685308473551</v>
          </cell>
          <cell r="P11">
            <v>0.57257922260663685</v>
          </cell>
          <cell r="Q11">
            <v>0.70081894988756588</v>
          </cell>
          <cell r="R11">
            <v>16.47383003042194</v>
          </cell>
        </row>
        <row r="12">
          <cell r="H12">
            <v>7.7539418127930801</v>
          </cell>
          <cell r="I12">
            <v>30</v>
          </cell>
          <cell r="J12">
            <v>281.5382063168189</v>
          </cell>
          <cell r="M12">
            <v>0.34909562305880609</v>
          </cell>
          <cell r="N12">
            <v>1.2399582551362989</v>
          </cell>
          <cell r="P12">
            <v>0.62068549856078681</v>
          </cell>
          <cell r="Q12">
            <v>0.76962410778383694</v>
          </cell>
          <cell r="R12">
            <v>17.094515528982729</v>
          </cell>
        </row>
        <row r="13">
          <cell r="H13">
            <v>8.0566772119826169</v>
          </cell>
          <cell r="I13">
            <v>31</v>
          </cell>
          <cell r="J13">
            <v>302.73539918953747</v>
          </cell>
          <cell r="M13">
            <v>0.38030511769719894</v>
          </cell>
          <cell r="N13">
            <v>1.2562294291164027</v>
          </cell>
          <cell r="P13">
            <v>0.66741730948767386</v>
          </cell>
          <cell r="Q13">
            <v>0.83842926568010601</v>
          </cell>
          <cell r="R13">
            <v>17.7619328384704</v>
          </cell>
        </row>
        <row r="14">
          <cell r="H14">
            <v>8.3799863571956763</v>
          </cell>
          <cell r="I14">
            <v>32</v>
          </cell>
          <cell r="J14">
            <v>323.3091452130588</v>
          </cell>
          <cell r="M14">
            <v>0.411514612335591</v>
          </cell>
          <cell r="N14">
            <v>1.2728208231301508</v>
          </cell>
          <cell r="P14">
            <v>0.71277465538730023</v>
          </cell>
          <cell r="Q14">
            <v>0.90723442357637318</v>
          </cell>
          <cell r="R14">
            <v>18.474707493857704</v>
          </cell>
        </row>
        <row r="15">
          <cell r="H15">
            <v>8.7232458015830598</v>
          </cell>
          <cell r="I15">
            <v>33</v>
          </cell>
          <cell r="J15">
            <v>343.25944438738281</v>
          </cell>
          <cell r="M15">
            <v>0.44272410697398479</v>
          </cell>
          <cell r="N15">
            <v>1.289765261270865</v>
          </cell>
          <cell r="P15">
            <v>0.75675753625966591</v>
          </cell>
          <cell r="Q15">
            <v>0.97603958147264414</v>
          </cell>
          <cell r="R15">
            <v>19.23146503011737</v>
          </cell>
        </row>
        <row r="16">
          <cell r="H16">
            <v>9.0858320982955671</v>
          </cell>
          <cell r="I16">
            <v>34</v>
          </cell>
          <cell r="J16">
            <v>362.58629671250662</v>
          </cell>
          <cell r="M16">
            <v>0.4739336016123753</v>
          </cell>
          <cell r="N16">
            <v>1.3070918727746501</v>
          </cell>
          <cell r="P16">
            <v>0.79936595210476447</v>
          </cell>
          <cell r="Q16">
            <v>1.044844739368908</v>
          </cell>
          <cell r="R16">
            <v>20.030830982222135</v>
          </cell>
        </row>
        <row r="17">
          <cell r="H17">
            <v>9.467121800484005</v>
          </cell>
          <cell r="I17">
            <v>35</v>
          </cell>
          <cell r="J17">
            <v>381.28970218843705</v>
          </cell>
          <cell r="M17">
            <v>0.50514309625076992</v>
          </cell>
          <cell r="N17">
            <v>1.3248275349464416</v>
          </cell>
          <cell r="P17">
            <v>0.840599902922611</v>
          </cell>
          <cell r="Q17">
            <v>1.1136498972651807</v>
          </cell>
          <cell r="R17">
            <v>20.871430885144751</v>
          </cell>
        </row>
        <row r="18">
          <cell r="H18">
            <v>9.8664914612991694</v>
          </cell>
          <cell r="I18">
            <v>36</v>
          </cell>
          <cell r="J18">
            <v>399.36966081516425</v>
          </cell>
          <cell r="M18">
            <v>0.5363525908891611</v>
          </cell>
          <cell r="N18">
            <v>1.34299783762842</v>
          </cell>
          <cell r="P18">
            <v>0.88045938871318363</v>
          </cell>
          <cell r="Q18">
            <v>1.1824550551614461</v>
          </cell>
          <cell r="R18">
            <v>21.751890273857931</v>
          </cell>
        </row>
        <row r="19">
          <cell r="H19">
            <v>10.283317633891869</v>
          </cell>
          <cell r="I19">
            <v>37</v>
          </cell>
          <cell r="J19">
            <v>416.82617259270012</v>
          </cell>
          <cell r="M19">
            <v>0.56756208552755671</v>
          </cell>
          <cell r="N19">
            <v>1.3616277547958766</v>
          </cell>
          <cell r="P19">
            <v>0.91894440947650879</v>
          </cell>
          <cell r="Q19">
            <v>1.2512602130577211</v>
          </cell>
          <cell r="R19">
            <v>22.670834683334441</v>
          </cell>
        </row>
        <row r="20">
          <cell r="H20">
            <v>10.716976871412903</v>
          </cell>
          <cell r="I20">
            <v>38</v>
          </cell>
          <cell r="J20">
            <v>433.65923752103475</v>
          </cell>
          <cell r="M20">
            <v>0.59877158016594623</v>
          </cell>
          <cell r="N20">
            <v>1.3807421319761526</v>
          </cell>
          <cell r="P20">
            <v>0.95605496521256461</v>
          </cell>
          <cell r="Q20">
            <v>1.3200653709539829</v>
          </cell>
          <cell r="R20">
            <v>23.626889648547007</v>
          </cell>
        </row>
        <row r="21">
          <cell r="H21">
            <v>11.166845727013076</v>
          </cell>
          <cell r="I21">
            <v>39</v>
          </cell>
          <cell r="J21">
            <v>449.86885560017214</v>
          </cell>
          <cell r="M21">
            <v>0.62998107480434029</v>
          </cell>
          <cell r="N21">
            <v>1.4003660554893929</v>
          </cell>
          <cell r="P21">
            <v>0.99179105592135974</v>
          </cell>
          <cell r="Q21">
            <v>1.3888705288502543</v>
          </cell>
          <cell r="R21">
            <v>24.618680704468368</v>
          </cell>
        </row>
        <row r="22">
          <cell r="H22">
            <v>11.632300753843188</v>
          </cell>
          <cell r="I22">
            <v>40</v>
          </cell>
          <cell r="J22">
            <v>465.45502683011216</v>
          </cell>
          <cell r="M22">
            <v>0.66119056944273613</v>
          </cell>
          <cell r="N22">
            <v>1.4205251449224676</v>
          </cell>
          <cell r="P22">
            <v>1.0261526816028941</v>
          </cell>
          <cell r="Q22">
            <v>1.4576756867465299</v>
          </cell>
          <cell r="R22">
            <v>25.644833386071262</v>
          </cell>
        </row>
        <row r="23">
          <cell r="H23">
            <v>12.112718505054042</v>
          </cell>
          <cell r="I23">
            <v>41</v>
          </cell>
          <cell r="J23">
            <v>480.41775121085499</v>
          </cell>
          <cell r="M23">
            <v>0.6861581651534443</v>
          </cell>
          <cell r="N23">
            <v>1.4282531472328754</v>
          </cell>
          <cell r="P23">
            <v>1.0591398422571681</v>
          </cell>
          <cell r="Q23">
            <v>1.5127198130635318</v>
          </cell>
          <cell r="R23">
            <v>26.703973228328426</v>
          </cell>
        </row>
        <row r="24">
          <cell r="H24">
            <v>12.607475533796443</v>
          </cell>
          <cell r="I24">
            <v>42</v>
          </cell>
          <cell r="J24">
            <v>494.75702874240045</v>
          </cell>
          <cell r="M24">
            <v>0.71112576086416257</v>
          </cell>
          <cell r="N24">
            <v>1.4373232102871576</v>
          </cell>
          <cell r="P24">
            <v>1.0907525378841809</v>
          </cell>
          <cell r="Q24">
            <v>1.5677639393805556</v>
          </cell>
          <cell r="R24">
            <v>27.794725766212608</v>
          </cell>
        </row>
        <row r="25">
          <cell r="H25">
            <v>13.113311002298257</v>
          </cell>
          <cell r="I25">
            <v>43</v>
          </cell>
          <cell r="J25">
            <v>505.83546850181364</v>
          </cell>
          <cell r="M25">
            <v>0.73609335657487707</v>
          </cell>
          <cell r="N25">
            <v>1.4552031291025174</v>
          </cell>
          <cell r="P25">
            <v>1.1151763167925721</v>
          </cell>
          <cell r="Q25">
            <v>1.6228080656975712</v>
          </cell>
          <cell r="R25">
            <v>28.909902083005182</v>
          </cell>
        </row>
        <row r="26">
          <cell r="H26">
            <v>13.630472975408233</v>
          </cell>
          <cell r="I26">
            <v>44</v>
          </cell>
          <cell r="J26">
            <v>517.16197310997711</v>
          </cell>
          <cell r="M26">
            <v>0.76106095228558945</v>
          </cell>
          <cell r="N26">
            <v>1.4716104274042321</v>
          </cell>
          <cell r="P26">
            <v>1.1401469850782038</v>
          </cell>
          <cell r="Q26">
            <v>1.6778521920145824</v>
          </cell>
          <cell r="R26">
            <v>30.050049068083382</v>
          </cell>
        </row>
        <row r="27">
          <cell r="H27">
            <v>14.159215072563184</v>
          </cell>
          <cell r="I27">
            <v>45</v>
          </cell>
          <cell r="J27">
            <v>528.74209715494931</v>
          </cell>
          <cell r="M27">
            <v>0.78602854799630506</v>
          </cell>
          <cell r="N27">
            <v>1.4866010333312976</v>
          </cell>
          <cell r="P27">
            <v>1.1656767885115644</v>
          </cell>
          <cell r="Q27">
            <v>1.7328963183316002</v>
          </cell>
          <cell r="R27">
            <v>31.215725856594947</v>
          </cell>
        </row>
        <row r="28">
          <cell r="H28">
            <v>14.69979659216451</v>
          </cell>
          <cell r="I28">
            <v>46</v>
          </cell>
          <cell r="J28">
            <v>540.58151960132625</v>
          </cell>
          <cell r="M28">
            <v>0.81099614370701578</v>
          </cell>
          <cell r="N28">
            <v>1.5002291315935434</v>
          </cell>
          <cell r="P28">
            <v>1.1917782470664713</v>
          </cell>
          <cell r="Q28">
            <v>1.7879404446486076</v>
          </cell>
          <cell r="R28">
            <v>32.407504103661424</v>
          </cell>
        </row>
        <row r="29">
          <cell r="H29">
            <v>15.252482638739773</v>
          </cell>
          <cell r="I29">
            <v>47</v>
          </cell>
          <cell r="J29">
            <v>552.68604657526237</v>
          </cell>
          <cell r="M29">
            <v>0.83970887877433964</v>
          </cell>
          <cell r="N29">
            <v>1.5193234639767439</v>
          </cell>
          <cell r="P29">
            <v>1.2184641610599896</v>
          </cell>
          <cell r="Q29">
            <v>1.8512411899131804</v>
          </cell>
          <cell r="R29">
            <v>33.625968264721408</v>
          </cell>
        </row>
        <row r="30">
          <cell r="H30">
            <v>15.817544252951569</v>
          </cell>
          <cell r="I30">
            <v>48</v>
          </cell>
          <cell r="J30">
            <v>565.06161421179581</v>
          </cell>
          <cell r="M30">
            <v>0.8684216138416635</v>
          </cell>
          <cell r="N30">
            <v>1.5368618076331808</v>
          </cell>
          <cell r="P30">
            <v>1.2457476174297106</v>
          </cell>
          <cell r="Q30">
            <v>1.9145419351777533</v>
          </cell>
          <cell r="R30">
            <v>34.871715882151122</v>
          </cell>
        </row>
        <row r="31">
          <cell r="H31">
            <v>16.395258544517571</v>
          </cell>
          <cell r="I31">
            <v>49</v>
          </cell>
          <cell r="J31">
            <v>577.71429156600016</v>
          </cell>
          <cell r="M31">
            <v>0.8971343489089828</v>
          </cell>
          <cell r="N31">
            <v>1.5529031599289957</v>
          </cell>
          <cell r="P31">
            <v>1.2736419961517433</v>
          </cell>
          <cell r="Q31">
            <v>1.9778426804423159</v>
          </cell>
          <cell r="R31">
            <v>36.145357878302868</v>
          </cell>
        </row>
        <row r="32">
          <cell r="H32">
            <v>16.985908828106837</v>
          </cell>
          <cell r="I32">
            <v>50</v>
          </cell>
          <cell r="J32">
            <v>590.65028358926713</v>
          </cell>
          <cell r="M32">
            <v>0.92584708397630389</v>
          </cell>
          <cell r="N32">
            <v>1.5675046803501234</v>
          </cell>
          <cell r="P32">
            <v>1.302160976802293</v>
          </cell>
          <cell r="Q32">
            <v>2.0411434257068826</v>
          </cell>
          <cell r="R32">
            <v>37.447518855105159</v>
          </cell>
        </row>
        <row r="33">
          <cell r="H33">
            <v>17.589784762279088</v>
          </cell>
          <cell r="I33">
            <v>51</v>
          </cell>
          <cell r="J33">
            <v>603.87593417225048</v>
          </cell>
          <cell r="M33">
            <v>0.95455981904362164</v>
          </cell>
          <cell r="N33">
            <v>1.5807217427070732</v>
          </cell>
          <cell r="P33">
            <v>1.3313185452662055</v>
          </cell>
          <cell r="Q33">
            <v>2.1044441709714419</v>
          </cell>
          <cell r="R33">
            <v>38.778837400371366</v>
          </cell>
        </row>
        <row r="34">
          <cell r="H34">
            <v>18.207182491535068</v>
          </cell>
          <cell r="I34">
            <v>52</v>
          </cell>
          <cell r="J34">
            <v>617.39772925597924</v>
          </cell>
          <cell r="M34">
            <v>0.98327255411094894</v>
          </cell>
          <cell r="N34">
            <v>1.5926079859345812</v>
          </cell>
          <cell r="P34">
            <v>1.3611290005957974</v>
          </cell>
          <cell r="Q34">
            <v>2.1677449162360225</v>
          </cell>
          <cell r="R34">
            <v>40.139966400967168</v>
          </cell>
        </row>
        <row r="35">
          <cell r="H35">
            <v>18.838404791547614</v>
          </cell>
          <cell r="I35">
            <v>53</v>
          </cell>
          <cell r="J35">
            <v>631.22230001254695</v>
          </cell>
          <cell r="M35">
            <v>1.011985289178273</v>
          </cell>
          <cell r="N35">
            <v>1.603215363522736</v>
          </cell>
          <cell r="P35">
            <v>1.3916069620230758</v>
          </cell>
          <cell r="Q35">
            <v>2.2310456615005956</v>
          </cell>
          <cell r="R35">
            <v>41.531573362990237</v>
          </cell>
        </row>
        <row r="36">
          <cell r="H36">
            <v>19.483761217644759</v>
          </cell>
          <cell r="I36">
            <v>54</v>
          </cell>
          <cell r="J36">
            <v>645.35642609714625</v>
          </cell>
          <cell r="M36">
            <v>1.0406980242455812</v>
          </cell>
          <cell r="N36">
            <v>1.6125941916148576</v>
          </cell>
          <cell r="P36">
            <v>1.4227673761292463</v>
          </cell>
          <cell r="Q36">
            <v>2.294346406765134</v>
          </cell>
          <cell r="R36">
            <v>42.95434073911948</v>
          </cell>
        </row>
        <row r="37">
          <cell r="H37">
            <v>20.14356825661757</v>
          </cell>
          <cell r="I37">
            <v>55</v>
          </cell>
          <cell r="J37">
            <v>659.80703897281091</v>
          </cell>
          <cell r="M37">
            <v>1.0719075188839864</v>
          </cell>
          <cell r="N37">
            <v>1.6245772711863371</v>
          </cell>
          <cell r="P37">
            <v>1.4546255241745158</v>
          </cell>
          <cell r="Q37">
            <v>2.3631515646614298</v>
          </cell>
          <cell r="R37">
            <v>44.408966263293998</v>
          </cell>
        </row>
        <row r="38">
          <cell r="H38">
            <v>20.818149481927207</v>
          </cell>
          <cell r="I38">
            <v>56</v>
          </cell>
          <cell r="J38">
            <v>674.58122530963681</v>
          </cell>
          <cell r="M38">
            <v>1.1031170135223713</v>
          </cell>
          <cell r="N38">
            <v>1.6352619553205532</v>
          </cell>
          <cell r="P38">
            <v>1.4871970295920911</v>
          </cell>
          <cell r="Q38">
            <v>2.4319567225576817</v>
          </cell>
          <cell r="R38">
            <v>45.896163292886094</v>
          </cell>
        </row>
        <row r="39">
          <cell r="H39">
            <v>21.507835712387397</v>
          </cell>
          <cell r="I39">
            <v>57</v>
          </cell>
          <cell r="J39">
            <v>689.68623046019115</v>
          </cell>
          <cell r="M39">
            <v>1.1405684070884494</v>
          </cell>
          <cell r="N39">
            <v>1.65374971503695</v>
          </cell>
          <cell r="P39">
            <v>1.5204978656501456</v>
          </cell>
          <cell r="Q39">
            <v>2.5145229120332191</v>
          </cell>
          <cell r="R39">
            <v>47.416661158536229</v>
          </cell>
        </row>
        <row r="40">
          <cell r="H40">
            <v>22.212965174399994</v>
          </cell>
          <cell r="I40">
            <v>58</v>
          </cell>
          <cell r="J40">
            <v>705.12946201259535</v>
          </cell>
          <cell r="M40">
            <v>1.178019800654512</v>
          </cell>
          <cell r="N40">
            <v>1.6706432848404646</v>
          </cell>
          <cell r="P40">
            <v>1.5545443632850247</v>
          </cell>
          <cell r="Q40">
            <v>2.5970891015087223</v>
          </cell>
          <cell r="R40">
            <v>48.971205521821261</v>
          </cell>
        </row>
        <row r="41">
          <cell r="H41">
            <v>22.93388366782332</v>
          </cell>
          <cell r="I41">
            <v>59</v>
          </cell>
          <cell r="J41">
            <v>720.91849342332796</v>
          </cell>
          <cell r="M41">
            <v>1.2154711942205929</v>
          </cell>
          <cell r="N41">
            <v>1.6860036263584384</v>
          </cell>
          <cell r="P41">
            <v>1.5893532191102067</v>
          </cell>
          <cell r="Q41">
            <v>2.6796552909842664</v>
          </cell>
          <cell r="R41">
            <v>50.560558740931469</v>
          </cell>
        </row>
        <row r="42">
          <cell r="H42">
            <v>23.670531862824131</v>
          </cell>
          <cell r="I42">
            <v>60</v>
          </cell>
          <cell r="J42">
            <v>736.64819500081035</v>
          </cell>
          <cell r="M42">
            <v>1.2443040552350546</v>
          </cell>
          <cell r="N42">
            <v>1.6891428821510732</v>
          </cell>
          <cell r="P42">
            <v>1.6240312750428547</v>
          </cell>
          <cell r="Q42">
            <v>2.7432208686293702</v>
          </cell>
          <cell r="R42">
            <v>52.184590015974322</v>
          </cell>
        </row>
        <row r="43">
          <cell r="H43">
            <v>24.402792160777569</v>
          </cell>
          <cell r="I43">
            <v>61</v>
          </cell>
          <cell r="J43">
            <v>732.26029795343754</v>
          </cell>
          <cell r="M43">
            <v>1.2643020954481565</v>
          </cell>
          <cell r="N43">
            <v>1.7265746879650576</v>
          </cell>
          <cell r="P43">
            <v>1.6143576179498731</v>
          </cell>
          <cell r="Q43">
            <v>2.7873090004758159</v>
          </cell>
          <cell r="R43">
            <v>53.7989476339242</v>
          </cell>
        </row>
        <row r="44">
          <cell r="H44">
            <v>25.14466831357106</v>
          </cell>
          <cell r="I44">
            <v>62</v>
          </cell>
          <cell r="J44">
            <v>741.87615279349177</v>
          </cell>
          <cell r="M44">
            <v>1.2978429527071502</v>
          </cell>
          <cell r="N44">
            <v>1.7494064849236597</v>
          </cell>
          <cell r="P44">
            <v>1.6355569490586708</v>
          </cell>
          <cell r="Q44">
            <v>2.8612539331451941</v>
          </cell>
          <cell r="R44">
            <v>55.434504582982868</v>
          </cell>
        </row>
        <row r="45">
          <cell r="H45">
            <v>25.896018768467133</v>
          </cell>
          <cell r="I45">
            <v>63</v>
          </cell>
          <cell r="J45">
            <v>751.35045489607387</v>
          </cell>
          <cell r="M45">
            <v>1.331488837358723</v>
          </cell>
          <cell r="N45">
            <v>1.7721275453847876</v>
          </cell>
          <cell r="P45">
            <v>1.6564442098002528</v>
          </cell>
          <cell r="Q45">
            <v>2.9354304115801662</v>
          </cell>
          <cell r="R45">
            <v>57.090948792783109</v>
          </cell>
        </row>
        <row r="46">
          <cell r="H46">
            <v>26.656700581284369</v>
          </cell>
          <cell r="I46">
            <v>64</v>
          </cell>
          <cell r="J46">
            <v>760.68181281723662</v>
          </cell>
          <cell r="M46">
            <v>1.3652169205993887</v>
          </cell>
          <cell r="N46">
            <v>1.7947279632507784</v>
          </cell>
          <cell r="P46">
            <v>1.6770163325658158</v>
          </cell>
          <cell r="Q46">
            <v>3.0097881068841361</v>
          </cell>
          <cell r="R46">
            <v>58.76796512534893</v>
          </cell>
        </row>
        <row r="47">
          <cell r="H47">
            <v>27.426569496423074</v>
          </cell>
          <cell r="I47">
            <v>65</v>
          </cell>
          <cell r="J47">
            <v>769.86891513870603</v>
          </cell>
          <cell r="M47">
            <v>1.3990045048737569</v>
          </cell>
          <cell r="N47">
            <v>1.8171983273564183</v>
          </cell>
          <cell r="P47">
            <v>1.6972704261729668</v>
          </cell>
          <cell r="Q47">
            <v>3.0842769795130307</v>
          </cell>
          <cell r="R47">
            <v>60.4652355515219</v>
          </cell>
        </row>
        <row r="48">
          <cell r="H48">
            <v>28.205480026365038</v>
          </cell>
          <cell r="I48">
            <v>66</v>
          </cell>
          <cell r="J48">
            <v>778.910529941964</v>
          </cell>
          <cell r="M48">
            <v>1.432829068917117</v>
          </cell>
          <cell r="N48">
            <v>1.8395297198304357</v>
          </cell>
          <cell r="P48">
            <v>1.7172037747062721</v>
          </cell>
          <cell r="Q48">
            <v>3.1588473785771947</v>
          </cell>
          <cell r="R48">
            <v>62.18243932622817</v>
          </cell>
        </row>
        <row r="49">
          <cell r="H49">
            <v>28.993285530607938</v>
          </cell>
          <cell r="I49">
            <v>67</v>
          </cell>
          <cell r="J49">
            <v>787.80550424290038</v>
          </cell>
          <cell r="M49">
            <v>1.4666683120073187</v>
          </cell>
          <cell r="N49">
            <v>1.8617137150073881</v>
          </cell>
          <cell r="P49">
            <v>1.7368138362708798</v>
          </cell>
          <cell r="Q49">
            <v>3.2334501394000932</v>
          </cell>
          <cell r="R49">
            <v>63.919253162499054</v>
          </cell>
        </row>
        <row r="50">
          <cell r="H50">
            <v>29.789838293995057</v>
          </cell>
          <cell r="I50">
            <v>68</v>
          </cell>
          <cell r="J50">
            <v>796.5527633871194</v>
          </cell>
          <cell r="M50">
            <v>1.5005001972420808</v>
          </cell>
          <cell r="N50">
            <v>1.8837423786738501</v>
          </cell>
          <cell r="P50">
            <v>1.7560982416593987</v>
          </cell>
          <cell r="Q50">
            <v>3.3080366789284414</v>
          </cell>
          <cell r="R50">
            <v>65.675351404158448</v>
          </cell>
        </row>
        <row r="51">
          <cell r="H51">
            <v>30.594989604399938</v>
          </cell>
          <cell r="I51">
            <v>69</v>
          </cell>
          <cell r="J51">
            <v>805.15131040488041</v>
          </cell>
          <cell r="M51">
            <v>1.534302993665684</v>
          </cell>
          <cell r="N51">
            <v>1.9056082674623489</v>
          </cell>
          <cell r="P51">
            <v>1.7750547929297849</v>
          </cell>
          <cell r="Q51">
            <v>3.382559088605666</v>
          </cell>
          <cell r="R51">
            <v>67.450406197088228</v>
          </cell>
        </row>
        <row r="52">
          <cell r="H52">
            <v>31.40858982972696</v>
          </cell>
          <cell r="I52">
            <v>70</v>
          </cell>
          <cell r="J52">
            <v>813.60022532702158</v>
          </cell>
          <cell r="M52">
            <v>1.5680553170775875</v>
          </cell>
          <cell r="N52">
            <v>1.9273044282249521</v>
          </cell>
          <cell r="P52">
            <v>1.793681461897213</v>
          </cell>
          <cell r="Q52">
            <v>3.4569702243395044</v>
          </cell>
          <cell r="R52">
            <v>69.24408765898545</v>
          </cell>
        </row>
        <row r="53">
          <cell r="H53">
            <v>32.230488494187775</v>
          </cell>
          <cell r="I53">
            <v>71</v>
          </cell>
          <cell r="J53">
            <v>821.89866446081169</v>
          </cell>
          <cell r="M53">
            <v>1.6017361693635239</v>
          </cell>
          <cell r="N53">
            <v>1.9488243972440411</v>
          </cell>
          <cell r="P53">
            <v>1.8119763885376019</v>
          </cell>
          <cell r="Q53">
            <v>3.5312237932122268</v>
          </cell>
          <cell r="R53">
            <v>71.056064047523051</v>
          </cell>
        </row>
        <row r="54">
          <cell r="H54">
            <v>33.06053435381525</v>
          </cell>
          <cell r="I54">
            <v>72</v>
          </cell>
          <cell r="J54">
            <v>830.04585962747421</v>
          </cell>
          <cell r="M54">
            <v>1.6353249762026669</v>
          </cell>
          <cell r="N54">
            <v>1.9701621991543974</v>
          </cell>
          <cell r="P54">
            <v>1.829937879306643</v>
          </cell>
          <cell r="Q54">
            <v>3.6052744366107103</v>
          </cell>
          <cell r="R54">
            <v>72.886001926829707</v>
          </cell>
        </row>
        <row r="55">
          <cell r="H55">
            <v>33.898575471175953</v>
          </cell>
          <cell r="I55">
            <v>73</v>
          </cell>
          <cell r="J55">
            <v>838.04111736070479</v>
          </cell>
          <cell r="M55">
            <v>1.6688016230119536</v>
          </cell>
          <cell r="N55">
            <v>1.9913123454701303</v>
          </cell>
          <cell r="P55">
            <v>1.8475644053728346</v>
          </cell>
          <cell r="Q55">
            <v>3.6790778094701051</v>
          </cell>
          <cell r="R55">
            <v>74.733566332202528</v>
          </cell>
        </row>
        <row r="56">
          <cell r="H56">
            <v>34.744459289243714</v>
          </cell>
          <cell r="I56">
            <v>74</v>
          </cell>
          <cell r="J56">
            <v>845.88381806776204</v>
          </cell>
          <cell r="M56">
            <v>1.7021464890039117</v>
          </cell>
          <cell r="N56">
            <v>2.0122698326255914</v>
          </cell>
          <cell r="P56">
            <v>1.8648546007680022</v>
          </cell>
          <cell r="Q56">
            <v>3.7525906553584925</v>
          </cell>
          <cell r="R56">
            <v>76.598420932970541</v>
          </cell>
        </row>
        <row r="57">
          <cell r="H57">
            <v>35.598032704397355</v>
          </cell>
          <cell r="I57">
            <v>75</v>
          </cell>
          <cell r="J57">
            <v>853.57341515364237</v>
          </cell>
          <cell r="M57">
            <v>1.7353404792444265</v>
          </cell>
          <cell r="N57">
            <v>2.033030139454457</v>
          </cell>
          <cell r="P57">
            <v>1.8818072604564366</v>
          </cell>
          <cell r="Q57">
            <v>3.8257708771521588</v>
          </cell>
          <cell r="R57">
            <v>78.480228193426953</v>
          </cell>
        </row>
        <row r="58">
          <cell r="H58">
            <v>36.459142138506365</v>
          </cell>
          <cell r="I58">
            <v>76</v>
          </cell>
          <cell r="J58">
            <v>861.10943410901109</v>
          </cell>
          <cell r="M58">
            <v>1.7683650546109029</v>
          </cell>
          <cell r="N58">
            <v>2.0535892240463349</v>
          </cell>
          <cell r="P58">
            <v>1.8984213383241235</v>
          </cell>
          <cell r="Q58">
            <v>3.898577603082042</v>
          </cell>
          <cell r="R58">
            <v>80.37864953175108</v>
          </cell>
        </row>
        <row r="59">
          <cell r="H59">
            <v>37.327633610069732</v>
          </cell>
          <cell r="I59">
            <v>77</v>
          </cell>
          <cell r="J59">
            <v>868.49147156336937</v>
          </cell>
          <cell r="M59">
            <v>1.8012022595640877</v>
          </cell>
          <cell r="N59">
            <v>2.0739435199308844</v>
          </cell>
          <cell r="P59">
            <v>1.9146959450913368</v>
          </cell>
          <cell r="Q59">
            <v>3.9709712479601178</v>
          </cell>
          <cell r="R59">
            <v>82.293345476842418</v>
          </cell>
        </row>
        <row r="60">
          <cell r="H60">
            <v>38.203352804373694</v>
          </cell>
          <cell r="I60">
            <v>78</v>
          </cell>
          <cell r="J60">
            <v>875.71919430396053</v>
          </cell>
          <cell r="M60">
            <v>1.8338347476606205</v>
          </cell>
          <cell r="N60">
            <v>2.0940899315541324</v>
          </cell>
          <cell r="P60">
            <v>1.930630346149695</v>
          </cell>
          <cell r="Q60">
            <v>4.042913569424945</v>
          </cell>
          <cell r="R60">
            <v>84.223975822992116</v>
          </cell>
        </row>
        <row r="61">
          <cell r="H61">
            <v>39.086145142636056</v>
          </cell>
          <cell r="I61">
            <v>79</v>
          </cell>
          <cell r="J61">
            <v>882.79233826236464</v>
          </cell>
          <cell r="M61">
            <v>1.8662458047475119</v>
          </cell>
          <cell r="N61">
            <v>2.1140258290199005</v>
          </cell>
          <cell r="P61">
            <v>1.9462239593279855</v>
          </cell>
          <cell r="Q61">
            <v>4.1143677190767383</v>
          </cell>
          <cell r="R61">
            <v>86.170199782320083</v>
          </cell>
        </row>
        <row r="62">
          <cell r="H62">
            <v>39.975855850105006</v>
          </cell>
          <cell r="I62">
            <v>80</v>
          </cell>
          <cell r="J62">
            <v>889.7107074689535</v>
          </cell>
          <cell r="M62">
            <v>1.8984193697917211</v>
          </cell>
          <cell r="N62">
            <v>2.1337490420817109</v>
          </cell>
          <cell r="P62">
            <v>1.9614763525871335</v>
          </cell>
          <cell r="Q62">
            <v>4.1852982883987249</v>
          </cell>
          <cell r="R62">
            <v>88.13167613490721</v>
          </cell>
        </row>
        <row r="63">
          <cell r="H63">
            <v>40.872330023082661</v>
          </cell>
          <cell r="I63">
            <v>81</v>
          </cell>
          <cell r="J63">
            <v>896.47417297765821</v>
          </cell>
          <cell r="M63">
            <v>1.930340053314888</v>
          </cell>
          <cell r="N63">
            <v>2.153257853378221</v>
          </cell>
          <cell r="P63">
            <v>1.9763872416497177</v>
          </cell>
          <cell r="Q63">
            <v>4.2556713493987735</v>
          </cell>
          <cell r="R63">
            <v>90.108063376556927</v>
          </cell>
        </row>
        <row r="64">
          <cell r="H64">
            <v>41.775412694843993</v>
          </cell>
          <cell r="I64">
            <v>82</v>
          </cell>
          <cell r="J64">
            <v>903.08267176133359</v>
          </cell>
          <cell r="M64">
            <v>1.96199315341271</v>
          </cell>
          <cell r="N64">
            <v>2.172550990914401</v>
          </cell>
          <cell r="P64">
            <v>1.9909564875646686</v>
          </cell>
          <cell r="Q64">
            <v>4.3254544899260754</v>
          </cell>
          <cell r="R64">
            <v>92.099019864121601</v>
          </cell>
        </row>
        <row r="65">
          <cell r="H65">
            <v>42.684948900423898</v>
          </cell>
          <cell r="I65">
            <v>83</v>
          </cell>
          <cell r="J65">
            <v>909.53620557990212</v>
          </cell>
          <cell r="M65">
            <v>1.9933646693557432</v>
          </cell>
          <cell r="N65">
            <v>2.1916276197986133</v>
          </cell>
          <cell r="P65">
            <v>2.005184094211951</v>
          </cell>
          <cell r="Q65">
            <v>4.3946168436557764</v>
          </cell>
          <cell r="R65">
            <v>94.104203958333542</v>
          </cell>
        </row>
        <row r="66">
          <cell r="H66">
            <v>43.600783740246122</v>
          </cell>
          <cell r="I66">
            <v>84</v>
          </cell>
          <cell r="J66">
            <v>915.83483982222606</v>
          </cell>
          <cell r="M66">
            <v>2.024441312778122</v>
          </cell>
          <cell r="N66">
            <v>2.210487333252237</v>
          </cell>
          <cell r="P66">
            <v>2.0190702057493297</v>
          </cell>
          <cell r="Q66">
            <v>4.4631291147558807</v>
          </cell>
          <cell r="R66">
            <v>96.123274164082886</v>
          </cell>
        </row>
        <row r="67">
          <cell r="H67">
            <v>44.522762442569473</v>
          </cell>
          <cell r="I67">
            <v>85</v>
          </cell>
          <cell r="J67">
            <v>921.97870232335356</v>
          </cell>
          <cell r="M67">
            <v>2.0537028317556283</v>
          </cell>
          <cell r="N67">
            <v>2.2274948722572119</v>
          </cell>
          <cell r="P67">
            <v>2.0326151040048437</v>
          </cell>
          <cell r="Q67">
            <v>4.5276397214433484</v>
          </cell>
          <cell r="R67">
            <v>98.155889268087719</v>
          </cell>
        </row>
        <row r="68">
          <cell r="H68">
            <v>45.450730424727986</v>
          </cell>
          <cell r="I68">
            <v>86</v>
          </cell>
          <cell r="J68">
            <v>927.96798215851663</v>
          </cell>
          <cell r="M68">
            <v>2.0788671123179974</v>
          </cell>
          <cell r="N68">
            <v>2.2402358187859148</v>
          </cell>
          <cell r="P68">
            <v>2.0458192058180269</v>
          </cell>
          <cell r="Q68">
            <v>4.5831174636336964</v>
          </cell>
          <cell r="R68">
            <v>100.20170847390574</v>
          </cell>
        </row>
        <row r="69">
          <cell r="H69">
            <v>46.38453335314346</v>
          </cell>
          <cell r="I69">
            <v>87</v>
          </cell>
          <cell r="J69">
            <v>933.80292841547146</v>
          </cell>
          <cell r="M69">
            <v>2.1037871047362477</v>
          </cell>
          <cell r="N69">
            <v>2.2529240814291192</v>
          </cell>
          <cell r="P69">
            <v>2.0586830603333812</v>
          </cell>
          <cell r="Q69">
            <v>4.6380566426552718</v>
          </cell>
          <cell r="R69">
            <v>102.26039153423912</v>
          </cell>
        </row>
        <row r="70">
          <cell r="H70">
            <v>47.32401720209009</v>
          </cell>
          <cell r="I70">
            <v>88</v>
          </cell>
          <cell r="J70">
            <v>939.48384894662786</v>
          </cell>
          <cell r="M70">
            <v>2.1284595969953943</v>
          </cell>
          <cell r="N70">
            <v>2.2655627336030042</v>
          </cell>
          <cell r="P70">
            <v>2.0712073462492939</v>
          </cell>
          <cell r="Q70">
            <v>4.6924501772271743</v>
          </cell>
          <cell r="R70">
            <v>104.33159888048841</v>
          </cell>
        </row>
        <row r="71">
          <cell r="H71">
            <v>48.269028311192855</v>
          </cell>
          <cell r="I71">
            <v>89</v>
          </cell>
          <cell r="J71">
            <v>945.0111091027668</v>
          </cell>
          <cell r="M71">
            <v>2.1528816529082553</v>
          </cell>
          <cell r="N71">
            <v>2.2781548620653691</v>
          </cell>
          <cell r="P71">
            <v>2.083392869026361</v>
          </cell>
          <cell r="Q71">
            <v>4.7462915941647239</v>
          </cell>
          <cell r="R71">
            <v>106.41499174951477</v>
          </cell>
        </row>
        <row r="72">
          <cell r="H72">
            <v>49.219413441641819</v>
          </cell>
          <cell r="I72">
            <v>90</v>
          </cell>
          <cell r="J72">
            <v>950.38513044896581</v>
          </cell>
          <cell r="M72">
            <v>2.177050604504517</v>
          </cell>
          <cell r="N72">
            <v>2.2907035629609123</v>
          </cell>
          <cell r="P72">
            <v>2.0952405580564899</v>
          </cell>
          <cell r="Q72">
            <v>4.7995750116002105</v>
          </cell>
          <cell r="R72">
            <v>108.51023230757126</v>
          </cell>
        </row>
        <row r="73">
          <cell r="H73">
            <v>50.17501983110769</v>
          </cell>
          <cell r="I73">
            <v>91</v>
          </cell>
          <cell r="J73">
            <v>955.60638946587244</v>
          </cell>
          <cell r="M73">
            <v>2.2009640443848326</v>
          </cell>
          <cell r="N73">
            <v>2.3032119381443672</v>
          </cell>
          <cell r="P73">
            <v>2.1067514637996938</v>
          </cell>
          <cell r="Q73">
            <v>4.8522951221265744</v>
          </cell>
          <cell r="R73">
            <v>110.61698377137095</v>
          </cell>
        </row>
        <row r="74">
          <cell r="H74">
            <v>51.135695247343797</v>
          </cell>
          <cell r="I74">
            <v>92</v>
          </cell>
          <cell r="J74">
            <v>960.67541623610794</v>
          </cell>
          <cell r="M74">
            <v>2.2246198180542835</v>
          </cell>
          <cell r="N74">
            <v>2.3156830917671076</v>
          </cell>
          <cell r="P74">
            <v>2.1179267548881122</v>
          </cell>
          <cell r="Q74">
            <v>4.904447175895581</v>
          </cell>
          <cell r="R74">
            <v>112.73491052625906</v>
          </cell>
        </row>
        <row r="75">
          <cell r="H75">
            <v>52.101288040462279</v>
          </cell>
          <cell r="I75">
            <v>93</v>
          </cell>
          <cell r="J75">
            <v>965.59279311848479</v>
          </cell>
          <cell r="M75">
            <v>2.2480160162489393</v>
          </cell>
          <cell r="N75">
            <v>2.3281201271073413</v>
          </cell>
          <cell r="P75">
            <v>2.1287677152031566</v>
          </cell>
          <cell r="Q75">
            <v>4.9560269637007766</v>
          </cell>
          <cell r="R75">
            <v>114.86367824146221</v>
          </cell>
        </row>
        <row r="76">
          <cell r="H76">
            <v>53.071647193873702</v>
          </cell>
          <cell r="I76">
            <v>94</v>
          </cell>
          <cell r="J76">
            <v>970.35915341142197</v>
          </cell>
          <cell r="M76">
            <v>2.2711509672686052</v>
          </cell>
          <cell r="N76">
            <v>2.3405261436284523</v>
          </cell>
          <cell r="P76">
            <v>2.1392757409288476</v>
          </cell>
          <cell r="Q76">
            <v>5.0070308000740953</v>
          </cell>
          <cell r="R76">
            <v>117.00295398239106</v>
          </cell>
        </row>
        <row r="77">
          <cell r="H77">
            <v>54.046622373879799</v>
          </cell>
          <cell r="I77">
            <v>95</v>
          </cell>
          <cell r="J77">
            <v>974.97518000609898</v>
          </cell>
          <cell r="M77">
            <v>2.294023229328265</v>
          </cell>
          <cell r="N77">
            <v>2.3529042342533422</v>
          </cell>
          <cell r="P77">
            <v>2.1494523375825278</v>
          </cell>
          <cell r="Q77">
            <v>5.0574555064236746</v>
          </cell>
          <cell r="R77">
            <v>119.15240631997359</v>
          </cell>
        </row>
        <row r="78">
          <cell r="H78">
            <v>55.026063977912465</v>
          </cell>
          <cell r="I78">
            <v>96</v>
          </cell>
          <cell r="J78">
            <v>979.44160403266255</v>
          </cell>
          <cell r="M78">
            <v>2.3166315829400497</v>
          </cell>
          <cell r="N78">
            <v>2.3652574828369186</v>
          </cell>
          <cell r="P78">
            <v>2.1592991170302591</v>
          </cell>
          <cell r="Q78">
            <v>5.1072983942389723</v>
          </cell>
          <cell r="R78">
            <v>121.31170543700385</v>
          </cell>
        </row>
        <row r="79">
          <cell r="H79">
            <v>56.009823181411136</v>
          </cell>
          <cell r="I79">
            <v>97</v>
          </cell>
          <cell r="J79">
            <v>983.75920349867079</v>
          </cell>
          <cell r="M79">
            <v>2.3389750233369733</v>
          </cell>
          <cell r="N79">
            <v>2.3775889618298587</v>
          </cell>
          <cell r="P79">
            <v>2.1688177944851028</v>
          </cell>
          <cell r="Q79">
            <v>5.1565572483879594</v>
          </cell>
          <cell r="R79">
            <v>123.48052323148896</v>
          </cell>
        </row>
        <row r="80">
          <cell r="H80">
            <v>56.997751983334716</v>
          </cell>
          <cell r="I80">
            <v>98</v>
          </cell>
          <cell r="J80">
            <v>987.92880192358052</v>
          </cell>
          <cell r="M80">
            <v>2.3610527529490084</v>
          </cell>
          <cell r="N80">
            <v>2.3899017301164216</v>
          </cell>
          <cell r="P80">
            <v>2.1780101854966838</v>
          </cell>
          <cell r="Q80">
            <v>5.2052303105297133</v>
          </cell>
          <cell r="R80">
            <v>125.65853341698563</v>
          </cell>
        </row>
        <row r="81">
          <cell r="H81">
            <v>57.989703250303229</v>
          </cell>
          <cell r="I81">
            <v>99</v>
          </cell>
          <cell r="J81">
            <v>991.95126696851401</v>
          </cell>
          <cell r="M81">
            <v>2.3828641739415128</v>
          </cell>
          <cell r="N81">
            <v>2.4021988310209483</v>
          </cell>
          <cell r="P81">
            <v>2.1868782029303402</v>
          </cell>
          <cell r="Q81">
            <v>5.2533162626644554</v>
          </cell>
          <cell r="R81">
            <v>127.84541161991598</v>
          </cell>
        </row>
        <row r="82">
          <cell r="H82">
            <v>58.985530759367705</v>
          </cell>
          <cell r="I82">
            <v>100</v>
          </cell>
          <cell r="J82">
            <v>995.82750906447973</v>
          </cell>
          <cell r="M82">
            <v>2.4044088808253088</v>
          </cell>
          <cell r="N82">
            <v>2.414483290468755</v>
          </cell>
          <cell r="P82">
            <v>2.1954238539428688</v>
          </cell>
          <cell r="Q82">
            <v>5.3008142108415726</v>
          </cell>
          <cell r="R82">
            <v>130.04083547385883</v>
          </cell>
        </row>
        <row r="83">
          <cell r="H83">
            <v>59.985089239407003</v>
          </cell>
          <cell r="I83">
            <v>101</v>
          </cell>
          <cell r="J83">
            <v>999.55848003929498</v>
          </cell>
          <cell r="M83">
            <v>2.4256866531471921</v>
          </cell>
          <cell r="N83">
            <v>2.426758115294898</v>
          </cell>
          <cell r="P83">
            <v>2.2036492369554077</v>
          </cell>
          <cell r="Q83">
            <v>5.347723669044945</v>
          </cell>
          <cell r="R83">
            <v>132.24448471081428</v>
          </cell>
        </row>
        <row r="84">
          <cell r="H84">
            <v>60.988234411151886</v>
          </cell>
          <cell r="I84">
            <v>102</v>
          </cell>
          <cell r="J84">
            <v>1003.1451717448832</v>
          </cell>
          <cell r="M84">
            <v>2.4466974482689938</v>
          </cell>
          <cell r="N84">
            <v>2.4390262916913392</v>
          </cell>
          <cell r="P84">
            <v>2.211556538627145</v>
          </cell>
          <cell r="Q84">
            <v>5.3940445432734991</v>
          </cell>
          <cell r="R84">
            <v>134.45604124944137</v>
          </cell>
        </row>
        <row r="85">
          <cell r="H85">
            <v>61.994823025838571</v>
          </cell>
          <cell r="I85">
            <v>103</v>
          </cell>
          <cell r="J85">
            <v>1006.588614686687</v>
          </cell>
          <cell r="M85">
            <v>2.4674413942427393</v>
          </cell>
          <cell r="N85">
            <v>2.4512907837833633</v>
          </cell>
          <cell r="P85">
            <v>2.2191480308336908</v>
          </cell>
          <cell r="Q85">
            <v>5.4397771158336266</v>
          </cell>
          <cell r="R85">
            <v>136.67518928027508</v>
          </cell>
        </row>
        <row r="86">
          <cell r="H86">
            <v>63.00471290249385</v>
          </cell>
          <cell r="I86">
            <v>104</v>
          </cell>
          <cell r="J86">
            <v>1009.8898766552812</v>
          </cell>
          <cell r="M86">
            <v>2.4879187827888831</v>
          </cell>
          <cell r="N86">
            <v>2.4635545323305745</v>
          </cell>
          <cell r="P86">
            <v>2.2264260676503027</v>
          </cell>
          <cell r="Q86">
            <v>5.4849220298588426</v>
          </cell>
          <cell r="R86">
            <v>138.9016153479254</v>
          </cell>
        </row>
        <row r="87">
          <cell r="H87">
            <v>64.017762963857209</v>
          </cell>
          <cell r="I87">
            <v>105</v>
          </cell>
          <cell r="J87">
            <v>1013.0500613633608</v>
          </cell>
          <cell r="M87">
            <v>2.5081300623839957</v>
          </cell>
          <cell r="N87">
            <v>2.4758204535406265</v>
          </cell>
          <cell r="P87">
            <v>2.2333930823469554</v>
          </cell>
          <cell r="Q87">
            <v>5.5294802740707381</v>
          </cell>
          <cell r="R87">
            <v>141.13500843027234</v>
          </cell>
        </row>
        <row r="88">
          <cell r="H88">
            <v>65.033833270944115</v>
          </cell>
          <cell r="I88">
            <v>106</v>
          </cell>
          <cell r="J88">
            <v>1016.0703070869024</v>
          </cell>
          <cell r="M88">
            <v>2.528075831463779</v>
          </cell>
          <cell r="N88">
            <v>2.4880914379949082</v>
          </cell>
          <cell r="P88">
            <v>2.2400515843926176</v>
          </cell>
          <cell r="Q88">
            <v>5.5734531677942005</v>
          </cell>
          <cell r="R88">
            <v>143.37506001466497</v>
          </cell>
        </row>
        <row r="89">
          <cell r="H89">
            <v>66.052785056257775</v>
          </cell>
          <cell r="I89">
            <v>107</v>
          </cell>
          <cell r="J89">
            <v>1018.9517853136582</v>
          </cell>
          <cell r="M89">
            <v>2.5477568317466939</v>
          </cell>
          <cell r="N89">
            <v>2.5003703496750163</v>
          </cell>
          <cell r="P89">
            <v>2.246404156475688</v>
          </cell>
          <cell r="Q89">
            <v>5.616842346238526</v>
          </cell>
          <cell r="R89">
            <v>145.62146417114067</v>
          </cell>
        </row>
        <row r="90">
          <cell r="H90">
            <v>67.074480755657333</v>
          </cell>
          <cell r="I90">
            <v>108</v>
          </cell>
          <cell r="J90">
            <v>1021.6956993995605</v>
          </cell>
          <cell r="M90">
            <v>2.5671739416829924</v>
          </cell>
          <cell r="N90">
            <v>2.5126600250854461</v>
          </cell>
          <cell r="P90">
            <v>2.2524534515418777</v>
          </cell>
          <cell r="Q90">
            <v>5.659649746055015</v>
          </cell>
          <cell r="R90">
            <v>147.87391762268251</v>
          </cell>
        </row>
        <row r="91">
          <cell r="H91">
            <v>68.098784038890287</v>
          </cell>
          <cell r="I91">
            <v>109</v>
          </cell>
          <cell r="J91">
            <v>1024.30328323296</v>
          </cell>
          <cell r="M91">
            <v>2.5863281700334797</v>
          </cell>
          <cell r="N91">
            <v>2.5249632724698241</v>
          </cell>
          <cell r="P91">
            <v>2.2582021898493574</v>
          </cell>
          <cell r="Q91">
            <v>5.7018775911805557</v>
          </cell>
          <cell r="R91">
            <v>150.13211981253187</v>
          </cell>
        </row>
        <row r="92">
          <cell r="H92">
            <v>69.125559838800044</v>
          </cell>
          <cell r="I92">
            <v>110</v>
          </cell>
          <cell r="J92">
            <v>1026.775799909751</v>
          </cell>
          <cell r="M92">
            <v>2.6052206495817352</v>
          </cell>
          <cell r="N92">
            <v>2.537282871110444</v>
          </cell>
          <cell r="P92">
            <v>2.263653156047909</v>
          </cell>
          <cell r="Q92">
            <v>5.7435283789754559</v>
          </cell>
          <cell r="R92">
            <v>152.39577296857979</v>
          </cell>
        </row>
        <row r="93">
          <cell r="H93">
            <v>70.154674379218918</v>
          </cell>
          <cell r="I93">
            <v>111</v>
          </cell>
          <cell r="J93">
            <v>1029.1145404188671</v>
          </cell>
          <cell r="M93">
            <v>2.6238526309831798</v>
          </cell>
          <cell r="N93">
            <v>2.5496215707099301</v>
          </cell>
          <cell r="P93">
            <v>2.2688091962809409</v>
          </cell>
          <cell r="Q93">
            <v>5.7846048666629457</v>
          </cell>
          <cell r="R93">
            <v>154.66458216486072</v>
          </cell>
        </row>
        <row r="94">
          <cell r="H94">
            <v>71.185995201558171</v>
          </cell>
          <cell r="I94">
            <v>112</v>
          </cell>
          <cell r="J94">
            <v>1031.3208223392469</v>
          </cell>
          <cell r="M94">
            <v>2.6422254767538593</v>
          </cell>
          <cell r="N94">
            <v>2.5619820908500133</v>
          </cell>
          <cell r="P94">
            <v>2.2736732153127859</v>
          </cell>
          <cell r="Q94">
            <v>5.8251100580767243</v>
          </cell>
          <cell r="R94">
            <v>156.93825538017353</v>
          </cell>
        </row>
        <row r="95">
          <cell r="H95">
            <v>72.219391190108453</v>
          </cell>
          <cell r="I95">
            <v>113</v>
          </cell>
          <cell r="J95">
            <v>1033.3959885502834</v>
          </cell>
          <cell r="M95">
            <v>2.6603406554013502</v>
          </cell>
          <cell r="N95">
            <v>2.5743671205202303</v>
          </cell>
          <cell r="P95">
            <v>2.2782481736857334</v>
          </cell>
          <cell r="Q95">
            <v>5.8650471907218149</v>
          </cell>
          <cell r="R95">
            <v>159.21650355385927</v>
          </cell>
        </row>
        <row r="96">
          <cell r="H96">
            <v>73.254732596063974</v>
          </cell>
          <cell r="I96">
            <v>114</v>
          </cell>
          <cell r="J96">
            <v>1035.3414059555155</v>
          </cell>
          <cell r="M96">
            <v>2.6781997356998919</v>
          </cell>
          <cell r="N96">
            <v>2.5867793177151883</v>
          </cell>
          <cell r="P96">
            <v>2.2825370849062461</v>
          </cell>
          <cell r="Q96">
            <v>5.9044197231533939</v>
          </cell>
          <cell r="R96">
            <v>161.49904063876554</v>
          </cell>
        </row>
        <row r="97">
          <cell r="H97">
            <v>74.2918910602842</v>
          </cell>
          <cell r="I97">
            <v>115</v>
          </cell>
          <cell r="J97">
            <v>1037.1584642202283</v>
          </cell>
          <cell r="M97">
            <v>2.6958043811113295</v>
          </cell>
          <cell r="N97">
            <v>2.599221309096801</v>
          </cell>
          <cell r="P97">
            <v>2.2865430126618493</v>
          </cell>
          <cell r="Q97">
            <v>5.9432313226770752</v>
          </cell>
          <cell r="R97">
            <v>163.78558365142737</v>
          </cell>
        </row>
        <row r="98">
          <cell r="H98">
            <v>75.330739634809746</v>
          </cell>
          <cell r="I98">
            <v>116</v>
          </cell>
          <cell r="J98">
            <v>1038.8485745255416</v>
          </cell>
          <cell r="M98">
            <v>2.7131563443531466</v>
          </cell>
          <cell r="N98">
            <v>2.6116956897132844</v>
          </cell>
          <cell r="P98">
            <v>2.2902690680743629</v>
          </cell>
          <cell r="Q98">
            <v>5.9814858533734734</v>
          </cell>
          <cell r="R98">
            <v>166.07585271950177</v>
          </cell>
        </row>
        <row r="99">
          <cell r="H99">
            <v>76.371152803146828</v>
          </cell>
          <cell r="I99">
            <v>117</v>
          </cell>
          <cell r="J99">
            <v>1040.4131683370772</v>
          </cell>
          <cell r="M99">
            <v>2.7302574621145208</v>
          </cell>
          <cell r="N99">
            <v>2.6242050227779901</v>
          </cell>
          <cell r="P99">
            <v>2.293718406985279</v>
          </cell>
          <cell r="Q99">
            <v>6.019187364449099</v>
          </cell>
          <cell r="R99">
            <v>168.36957112648705</v>
          </cell>
        </row>
        <row r="100">
          <cell r="H100">
            <v>77.413006499338422</v>
          </cell>
          <cell r="I100">
            <v>118</v>
          </cell>
          <cell r="J100">
            <v>1041.8536961915929</v>
          </cell>
          <cell r="M100">
            <v>2.7471096499209389</v>
          </cell>
          <cell r="N100">
            <v>2.636751839497967</v>
          </cell>
          <cell r="P100">
            <v>2.2968942272807475</v>
          </cell>
          <cell r="Q100">
            <v>6.056340078914773</v>
          </cell>
          <cell r="R100">
            <v>170.66646535376779</v>
          </cell>
        </row>
        <row r="101">
          <cell r="H101">
            <v>78.45617812583842</v>
          </cell>
          <cell r="I101">
            <v>119</v>
          </cell>
          <cell r="J101">
            <v>1043.1716265000039</v>
          </cell>
          <cell r="M101">
            <v>2.7637148971476408</v>
          </cell>
          <cell r="N101">
            <v>2.6493386389546614</v>
          </cell>
          <cell r="P101">
            <v>2.2997997662526903</v>
          </cell>
          <cell r="Q101">
            <v>6.0929483825921515</v>
          </cell>
          <cell r="R101">
            <v>172.96626512002047</v>
          </cell>
        </row>
        <row r="102">
          <cell r="H102">
            <v>79.500546570207504</v>
          </cell>
          <cell r="I102">
            <v>120</v>
          </cell>
          <cell r="J102">
            <v>1044.3684443690786</v>
          </cell>
          <cell r="M102">
            <v>2.7800752621818541</v>
          </cell>
          <cell r="N102">
            <v>2.6619678880295417</v>
          </cell>
          <cell r="P102">
            <v>2.3024382980010851</v>
          </cell>
          <cell r="Q102">
            <v>6.1290168134482821</v>
          </cell>
          <cell r="R102">
            <v>175.26870341802157</v>
          </cell>
        </row>
        <row r="103">
          <cell r="H103">
            <v>80.545992220648898</v>
          </cell>
          <cell r="I103">
            <v>121</v>
          </cell>
          <cell r="J103">
            <v>1045.445650441399</v>
          </cell>
          <cell r="M103">
            <v>2.7961928677334522</v>
          </cell>
          <cell r="N103">
            <v>2.6746420213742028</v>
          </cell>
          <cell r="P103">
            <v>2.3048131308765156</v>
          </cell>
          <cell r="Q103">
            <v>6.1645500512573701</v>
          </cell>
          <cell r="R103">
            <v>177.57351654889808</v>
          </cell>
        </row>
        <row r="104">
          <cell r="H104">
            <v>81.592396980403407</v>
          </cell>
          <cell r="I104">
            <v>122</v>
          </cell>
          <cell r="J104">
            <v>1046.404759754513</v>
          </cell>
          <cell r="M104">
            <v>2.8120698962934685</v>
          </cell>
          <cell r="N104">
            <v>2.6873634414212542</v>
          </cell>
          <cell r="P104">
            <v>2.3069276049650327</v>
          </cell>
          <cell r="Q104">
            <v>6.1995529075885214</v>
          </cell>
          <cell r="R104">
            <v>179.8804441538631</v>
          </cell>
        </row>
        <row r="105">
          <cell r="H105">
            <v>82.639644281023266</v>
          </cell>
          <cell r="I105">
            <v>123</v>
          </cell>
          <cell r="J105">
            <v>1047.2473006198572</v>
          </cell>
          <cell r="M105">
            <v>2.8277085857396234</v>
          </cell>
          <cell r="N105">
            <v>2.7001345184331584</v>
          </cell>
          <cell r="P105">
            <v>2.3087850896166029</v>
          </cell>
          <cell r="Q105">
            <v>6.2340303161175825</v>
          </cell>
          <cell r="R105">
            <v>182.1892292434797</v>
          </cell>
        </row>
        <row r="106">
          <cell r="H106">
            <v>83.687619094545013</v>
          </cell>
          <cell r="I106">
            <v>124</v>
          </cell>
          <cell r="J106">
            <v>1047.974813521746</v>
          </cell>
          <cell r="M106">
            <v>2.8431112250877559</v>
          </cell>
          <cell r="N106">
            <v>2.7129575905869423</v>
          </cell>
          <cell r="P106">
            <v>2.3103889810177933</v>
          </cell>
          <cell r="Q106">
            <v>6.2679873232606536</v>
          </cell>
          <cell r="R106">
            <v>184.49961822449748</v>
          </cell>
        </row>
        <row r="107">
          <cell r="H107">
            <v>84.736207944581707</v>
          </cell>
          <cell r="I107">
            <v>125</v>
          </cell>
          <cell r="J107">
            <v>1048.5888500366971</v>
          </cell>
          <cell r="M107">
            <v>2.8582801503879036</v>
          </cell>
          <cell r="N107">
            <v>2.7258349640928121</v>
          </cell>
          <cell r="P107">
            <v>2.3117426998092956</v>
          </cell>
          <cell r="Q107">
            <v>6.3014290791264935</v>
          </cell>
          <cell r="R107">
            <v>186.81136092430677</v>
          </cell>
        </row>
        <row r="108">
          <cell r="H108">
            <v>85.785298916355799</v>
          </cell>
          <cell r="I108">
            <v>126</v>
          </cell>
          <cell r="J108">
            <v>1049.0909717740919</v>
          </cell>
          <cell r="M108">
            <v>2.8732177407635136</v>
          </cell>
          <cell r="N108">
            <v>2.7387689133428399</v>
          </cell>
          <cell r="P108">
            <v>2.3128496887504784</v>
          </cell>
          <cell r="Q108">
            <v>6.3343608287844733</v>
          </cell>
          <cell r="R108">
            <v>189.12421061305727</v>
          </cell>
        </row>
        <row r="109">
          <cell r="H109">
            <v>86.834781665693612</v>
          </cell>
          <cell r="I109">
            <v>127</v>
          </cell>
          <cell r="J109">
            <v>1049.4827493378141</v>
          </cell>
          <cell r="M109">
            <v>2.8879264145921457</v>
          </cell>
          <cell r="N109">
            <v>2.751761681089397</v>
          </cell>
          <cell r="P109">
            <v>2.3137134104301933</v>
          </cell>
          <cell r="Q109">
            <v>6.3667879038444708</v>
          </cell>
          <cell r="R109">
            <v>191.43792402348745</v>
          </cell>
        </row>
        <row r="110">
          <cell r="H110">
            <v>87.884547427003326</v>
          </cell>
          <cell r="I110">
            <v>128</v>
          </cell>
          <cell r="J110">
            <v>1049.7657613097092</v>
          </cell>
          <cell r="M110">
            <v>2.9024086258257769</v>
          </cell>
          <cell r="N110">
            <v>2.7648154786498971</v>
          </cell>
          <cell r="P110">
            <v>2.3143373450256872</v>
          </cell>
          <cell r="Q110">
            <v>6.3987157143445268</v>
          </cell>
          <cell r="R110">
            <v>193.75226136851313</v>
          </cell>
        </row>
        <row r="111">
          <cell r="H111">
            <v>88.934489020257985</v>
          </cell>
          <cell r="I111">
            <v>129</v>
          </cell>
          <cell r="J111">
            <v>1049.9415932546642</v>
          </cell>
          <cell r="M111">
            <v>2.9166668604487715</v>
          </cell>
          <cell r="N111">
            <v>2.7779324861371895</v>
          </cell>
          <cell r="P111">
            <v>2.3147249881091785</v>
          </cell>
          <cell r="Q111">
            <v>6.4301497409420074</v>
          </cell>
          <cell r="R111">
            <v>196.06698635662232</v>
          </cell>
        </row>
        <row r="112">
          <cell r="H112">
            <v>89.984500857006054</v>
          </cell>
          <cell r="I112">
            <v>130</v>
          </cell>
          <cell r="J112">
            <v>1050.0118367480736</v>
          </cell>
          <cell r="M112">
            <v>2.9307036330713387</v>
          </cell>
          <cell r="N112">
            <v>2.7911148527123646</v>
          </cell>
          <cell r="P112">
            <v>2.3148798485037867</v>
          </cell>
          <cell r="Q112">
            <v>6.4610955274034669</v>
          </cell>
          <cell r="R112">
            <v>198.3818662051261</v>
          </cell>
        </row>
        <row r="113">
          <cell r="H113">
            <v>91.0344789454319</v>
          </cell>
          <cell r="I113">
            <v>131</v>
          </cell>
          <cell r="J113">
            <v>1049.9780884258464</v>
          </cell>
          <cell r="M113">
            <v>2.9445214836562368</v>
          </cell>
          <cell r="N113">
            <v>2.8043646968583289</v>
          </cell>
          <cell r="P113">
            <v>2.3148054461891552</v>
          </cell>
          <cell r="Q113">
            <v>6.4915586733882602</v>
          </cell>
          <cell r="R113">
            <v>200.69667165131526</v>
          </cell>
        </row>
        <row r="114">
          <cell r="H114">
            <v>92.084320894488059</v>
          </cell>
          <cell r="I114">
            <v>132</v>
          </cell>
          <cell r="J114">
            <v>1049.8419490561612</v>
          </cell>
          <cell r="M114">
            <v>2.9581229743763569</v>
          </cell>
          <cell r="N114">
            <v>2.8176841066751015</v>
          </cell>
          <cell r="P114">
            <v>2.314505310255023</v>
          </cell>
          <cell r="Q114">
            <v>6.5215448275207031</v>
          </cell>
          <cell r="R114">
            <v>203.01117696157024</v>
          </cell>
        </row>
        <row r="115">
          <cell r="H115">
            <v>93.133925917123079</v>
          </cell>
          <cell r="I115">
            <v>133</v>
          </cell>
          <cell r="J115">
            <v>1049.6050226350139</v>
          </cell>
          <cell r="M115">
            <v>2.9715106866007024</v>
          </cell>
          <cell r="N115">
            <v>2.8310751401901446</v>
          </cell>
          <cell r="P115">
            <v>2.3139829769072482</v>
          </cell>
          <cell r="Q115">
            <v>6.551059680745297</v>
          </cell>
          <cell r="R115">
            <v>205.32515993847753</v>
          </cell>
        </row>
        <row r="116">
          <cell r="H116">
            <v>94.183194832626526</v>
          </cell>
          <cell r="I116">
            <v>134</v>
          </cell>
          <cell r="J116">
            <v>1049.2689155034493</v>
          </cell>
          <cell r="M116">
            <v>2.9846872180062101</v>
          </cell>
          <cell r="N116">
            <v>2.8445398256881824</v>
          </cell>
          <cell r="P116">
            <v>2.3132419875216361</v>
          </cell>
          <cell r="Q116">
            <v>6.5801089599593796</v>
          </cell>
          <cell r="R116">
            <v>207.63840192599918</v>
          </cell>
        </row>
        <row r="117">
          <cell r="H117">
            <v>95.23203006811525</v>
          </cell>
          <cell r="I117">
            <v>135</v>
          </cell>
          <cell r="J117">
            <v>1048.8352354887288</v>
          </cell>
          <cell r="M117">
            <v>2.9976551798127766</v>
          </cell>
          <cell r="N117">
            <v>2.8580801620532421</v>
          </cell>
          <cell r="P117">
            <v>2.3122858867505394</v>
          </cell>
          <cell r="Q117">
            <v>6.6086984219174072</v>
          </cell>
          <cell r="R117">
            <v>209.95068781274969</v>
          </cell>
        </row>
        <row r="118">
          <cell r="H118">
            <v>96.280335659182683</v>
          </cell>
          <cell r="I118">
            <v>136</v>
          </cell>
          <cell r="J118">
            <v>1048.3055910674311</v>
          </cell>
          <cell r="M118">
            <v>3.0104171941387623</v>
          </cell>
          <cell r="N118">
            <v>2.8716981191270978</v>
          </cell>
          <cell r="P118">
            <v>2.3111182206778107</v>
          </cell>
          <cell r="Q118">
            <v>6.6368338474008324</v>
          </cell>
          <cell r="R118">
            <v>212.26180603342752</v>
          </cell>
        </row>
        <row r="119">
          <cell r="H119">
            <v>97.32801724973497</v>
          </cell>
          <cell r="I119">
            <v>137</v>
          </cell>
          <cell r="J119">
            <v>1047.6815905522858</v>
          </cell>
          <cell r="M119">
            <v>3.0229758914742582</v>
          </cell>
          <cell r="N119">
            <v>2.8853956380780681</v>
          </cell>
          <cell r="P119">
            <v>2.3097425350260758</v>
          </cell>
          <cell r="Q119">
            <v>6.6645210356476188</v>
          </cell>
          <cell r="R119">
            <v>214.57154856845358</v>
          </cell>
        </row>
        <row r="120">
          <cell r="H120">
            <v>98.374982091036756</v>
          </cell>
          <cell r="I120">
            <v>138</v>
          </cell>
          <cell r="J120">
            <v>1046.964841301786</v>
          </cell>
          <cell r="M120">
            <v>3.035333908269243</v>
          </cell>
          <cell r="N120">
            <v>2.8991746317814626</v>
          </cell>
          <cell r="P120">
            <v>2.3081623734142309</v>
          </cell>
          <cell r="Q120">
            <v>6.6917657990350294</v>
          </cell>
          <cell r="R120">
            <v>216.87971094186781</v>
          </cell>
        </row>
        <row r="121">
          <cell r="H121">
            <v>99.421139039989129</v>
          </cell>
          <cell r="I121">
            <v>139</v>
          </cell>
          <cell r="J121">
            <v>1046.1569489523747</v>
          </cell>
          <cell r="M121">
            <v>3.047493884633842</v>
          </cell>
          <cell r="N121">
            <v>2.9130369852110749</v>
          </cell>
          <cell r="P121">
            <v>2.3063812756647</v>
          </cell>
          <cell r="Q121">
            <v>6.7185739580095714</v>
          </cell>
          <cell r="R121">
            <v>219.18609221753252</v>
          </cell>
        </row>
        <row r="122">
          <cell r="H122">
            <v>100.46639855666318</v>
          </cell>
          <cell r="I122">
            <v>140</v>
          </cell>
          <cell r="J122">
            <v>1045.2595166740514</v>
          </cell>
          <cell r="M122">
            <v>3.0594584621477803</v>
          </cell>
          <cell r="N122">
            <v>2.9269845558381333</v>
          </cell>
          <cell r="P122">
            <v>2.3044027761623314</v>
          </cell>
          <cell r="Q122">
            <v>6.744951336257663</v>
          </cell>
          <cell r="R122">
            <v>221.49049499369482</v>
          </cell>
        </row>
        <row r="123">
          <cell r="H123">
            <v>101.51067270111163</v>
          </cell>
          <cell r="I123">
            <v>141</v>
          </cell>
          <cell r="J123">
            <v>1044.2741444484448</v>
          </cell>
          <cell r="M123">
            <v>3.071230281776129</v>
          </cell>
          <cell r="N123">
            <v>2.9410191740390772</v>
          </cell>
          <cell r="P123">
            <v>2.3022304022628175</v>
          </cell>
          <cell r="Q123">
            <v>6.770903756110644</v>
          </cell>
          <cell r="R123">
            <v>223.79272539595769</v>
          </cell>
        </row>
        <row r="124">
          <cell r="H124">
            <v>102.55387512948163</v>
          </cell>
          <cell r="I124">
            <v>142</v>
          </cell>
          <cell r="J124">
            <v>1043.2024283699911</v>
          </cell>
          <cell r="M124">
            <v>3.0828119818884541</v>
          </cell>
          <cell r="N124">
            <v>2.9551426435091437</v>
          </cell>
          <cell r="P124">
            <v>2.2998676727520597</v>
          </cell>
          <cell r="Q124">
            <v>6.7964370341777434</v>
          </cell>
          <cell r="R124">
            <v>226.09259306870973</v>
          </cell>
        </row>
        <row r="125">
          <cell r="H125">
            <v>103.59592108945067</v>
          </cell>
          <cell r="I125">
            <v>143</v>
          </cell>
          <cell r="J125">
            <v>1042.0459599690448</v>
          </cell>
          <cell r="M125">
            <v>3.0942061963784306</v>
          </cell>
          <cell r="N125">
            <v>2.9693567416837809</v>
          </cell>
          <cell r="P125">
            <v>2.2973180963538802</v>
          </cell>
          <cell r="Q125">
            <v>6.8215569772005438</v>
          </cell>
          <cell r="R125">
            <v>228.38991116506361</v>
          </cell>
        </row>
        <row r="126">
          <cell r="H126">
            <v>104.63672741500888</v>
          </cell>
          <cell r="I126">
            <v>144</v>
          </cell>
          <cell r="J126">
            <v>1040.8063255582072</v>
          </cell>
          <cell r="M126">
            <v>3.1054155528810203</v>
          </cell>
          <cell r="N126">
            <v>2.9836632201630002</v>
          </cell>
          <cell r="P126">
            <v>2.2945851702889253</v>
          </cell>
          <cell r="Q126">
            <v>6.8462693781225203</v>
          </cell>
          <cell r="R126">
            <v>230.68449633535255</v>
          </cell>
        </row>
        <row r="127">
          <cell r="H127">
            <v>105.67621252060964</v>
          </cell>
          <cell r="I127">
            <v>145</v>
          </cell>
          <cell r="J127">
            <v>1039.4851056007583</v>
          </cell>
          <cell r="M127">
            <v>3.1164426710842932</v>
          </cell>
          <cell r="N127">
            <v>2.9980638051405086</v>
          </cell>
          <cell r="P127">
            <v>2.291672378882295</v>
          </cell>
          <cell r="Q127">
            <v>6.870580012367256</v>
          </cell>
          <cell r="R127">
            <v>232.97616871423486</v>
          </cell>
        </row>
        <row r="128">
          <cell r="H128">
            <v>106.71429639471022</v>
          </cell>
          <cell r="I128">
            <v>146</v>
          </cell>
          <cell r="J128">
            <v>1038.0838741005823</v>
          </cell>
          <cell r="M128">
            <v>3.1272901611329784</v>
          </cell>
          <cell r="N128">
            <v>3.0125601978380878</v>
          </cell>
          <cell r="P128">
            <v>2.2885831922185602</v>
          </cell>
          <cell r="Q128">
            <v>6.8944946343188676</v>
          </cell>
          <cell r="R128">
            <v>235.2647519064534</v>
          </cell>
        </row>
        <row r="129">
          <cell r="H129">
            <v>107.75090059272532</v>
          </cell>
          <cell r="I129">
            <v>147</v>
          </cell>
          <cell r="J129">
            <v>1036.6041980150915</v>
          </cell>
          <cell r="M129">
            <v>3.1379606221208971</v>
          </cell>
          <cell r="N129">
            <v>3.0271540749396162</v>
          </cell>
          <cell r="P129">
            <v>2.2853210648474787</v>
          </cell>
          <cell r="Q129">
            <v>6.9180189739983877</v>
          </cell>
          <cell r="R129">
            <v>237.55007297130086</v>
          </cell>
        </row>
        <row r="130">
          <cell r="H130">
            <v>108.78594822941444</v>
          </cell>
          <cell r="I130">
            <v>148</v>
          </cell>
          <cell r="J130">
            <v>1035.0476366891253</v>
          </cell>
          <cell r="M130">
            <v>3.148456640669389</v>
          </cell>
          <cell r="N130">
            <v>3.0418470890292197</v>
          </cell>
          <cell r="P130">
            <v>2.2818894345359584</v>
          </cell>
          <cell r="Q130">
            <v>6.9411587339297371</v>
          </cell>
          <cell r="R130">
            <v>239.83196240583683</v>
          </cell>
        </row>
        <row r="131">
          <cell r="H131">
            <v>109.81936397072496</v>
          </cell>
          <cell r="I131">
            <v>149</v>
          </cell>
          <cell r="J131">
            <v>1033.415741310517</v>
          </cell>
          <cell r="M131">
            <v>3.1587807895889091</v>
          </cell>
          <cell r="N131">
            <v>3.0566408690302409</v>
          </cell>
          <cell r="P131">
            <v>2.278291721067788</v>
          </cell>
          <cell r="Q131">
            <v>6.9639195861890464</v>
          </cell>
          <cell r="R131">
            <v>242.11025412690466</v>
          </cell>
        </row>
        <row r="132">
          <cell r="H132">
            <v>110.85107402511181</v>
          </cell>
          <cell r="I132">
            <v>150</v>
          </cell>
          <cell r="J132">
            <v>1031.7100543868532</v>
          </cell>
          <cell r="M132">
            <v>3.1689356266209878</v>
          </cell>
          <cell r="N132">
            <v>3.0715370206450987</v>
          </cell>
          <cell r="P132">
            <v>2.2745313250900874</v>
          </cell>
          <cell r="Q132">
            <v>6.9863071696311554</v>
          </cell>
          <cell r="R132">
            <v>244.38478545199473</v>
          </cell>
        </row>
        <row r="133">
          <cell r="H133">
            <v>111.8810061343554</v>
          </cell>
          <cell r="I133">
            <v>151</v>
          </cell>
          <cell r="J133">
            <v>1029.93210924359</v>
          </cell>
          <cell r="M133">
            <v>3.1789236932577882</v>
          </cell>
          <cell r="N133">
            <v>3.0865371267941883</v>
          </cell>
          <cell r="P133">
            <v>2.270611627006843</v>
          </cell>
          <cell r="Q133">
            <v>7.0083270872871779</v>
          </cell>
          <cell r="R133">
            <v>246.65539707900157</v>
          </cell>
        </row>
        <row r="134">
          <cell r="H134">
            <v>112.90908956389777</v>
          </cell>
          <cell r="I134">
            <v>152</v>
          </cell>
          <cell r="J134">
            <v>1028.083429542359</v>
          </cell>
          <cell r="M134">
            <v>3.1887475136365429</v>
          </cell>
          <cell r="N134">
            <v>3.1016427480559448</v>
          </cell>
          <cell r="P134">
            <v>2.2665359859169567</v>
          </cell>
          <cell r="Q134">
            <v>7.0299849039271605</v>
          </cell>
          <cell r="R134">
            <v>248.92193306491853</v>
          </cell>
        </row>
        <row r="135">
          <cell r="H135">
            <v>113.93525509271778</v>
          </cell>
          <cell r="I135">
            <v>153</v>
          </cell>
          <cell r="J135">
            <v>1026.1655288200163</v>
          </cell>
          <cell r="M135">
            <v>3.1984095935061534</v>
          </cell>
          <cell r="N135">
            <v>3.1168554231050729</v>
          </cell>
          <cell r="P135">
            <v>2.2623077385980199</v>
          </cell>
          <cell r="Q135">
            <v>7.0512861437818133</v>
          </cell>
          <cell r="R135">
            <v>251.18424080351653</v>
          </cell>
        </row>
        <row r="136">
          <cell r="H136">
            <v>114.95943500276545</v>
          </cell>
          <cell r="I136">
            <v>154</v>
          </cell>
          <cell r="J136">
            <v>1024.1799100476649</v>
          </cell>
          <cell r="M136">
            <v>3.207912419263331</v>
          </cell>
          <cell r="N136">
            <v>3.1321766691498918</v>
          </cell>
          <cell r="P136">
            <v>2.257930198534126</v>
          </cell>
          <cell r="Q136">
            <v>7.0722362884175736</v>
          </cell>
          <cell r="R136">
            <v>253.44217100205069</v>
          </cell>
        </row>
        <row r="137">
          <cell r="H137">
            <v>115.9815630679752</v>
          </cell>
          <cell r="I137">
            <v>155</v>
          </cell>
          <cell r="J137">
            <v>1022.1280652097618</v>
          </cell>
          <cell r="M137">
            <v>3.2172584570556801</v>
          </cell>
          <cell r="N137">
            <v>3.1476079823670946</v>
          </cell>
          <cell r="P137">
            <v>2.2534066549879612</v>
          </cell>
          <cell r="Q137">
            <v>7.0928407747592406</v>
          </cell>
          <cell r="R137">
            <v>255.69557765703865</v>
          </cell>
        </row>
        <row r="138">
          <cell r="H138" t="str">
            <v xml:space="preserve"> </v>
          </cell>
          <cell r="I138" t="str">
            <v xml:space="preserve"> </v>
          </cell>
          <cell r="J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H139" t="str">
            <v xml:space="preserve"> </v>
          </cell>
          <cell r="I139" t="str">
            <v xml:space="preserve"> </v>
          </cell>
          <cell r="J139" t="str">
            <v xml:space="preserve"> </v>
          </cell>
          <cell r="M139" t="str">
            <v xml:space="preserve"> </v>
          </cell>
          <cell r="N139" t="str">
            <v xml:space="preserve"> </v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H140" t="str">
            <v xml:space="preserve"> </v>
          </cell>
          <cell r="I140" t="str">
            <v xml:space="preserve"> </v>
          </cell>
          <cell r="J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H141" t="str">
            <v xml:space="preserve"> </v>
          </cell>
          <cell r="I141" t="str">
            <v xml:space="preserve"> </v>
          </cell>
          <cell r="J141" t="str">
            <v xml:space="preserve"> </v>
          </cell>
          <cell r="M141" t="str">
            <v xml:space="preserve"> </v>
          </cell>
          <cell r="N141" t="str">
            <v xml:space="preserve"> </v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H149" t="str">
            <v xml:space="preserve"> </v>
          </cell>
          <cell r="I149" t="str">
            <v xml:space="preserve"> </v>
          </cell>
          <cell r="J149" t="str">
            <v xml:space="preserve"> </v>
          </cell>
          <cell r="M149" t="str">
            <v xml:space="preserve"> </v>
          </cell>
          <cell r="N149" t="str">
            <v xml:space="preserve"> </v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H150" t="str">
            <v xml:space="preserve"> </v>
          </cell>
          <cell r="I150" t="str">
            <v xml:space="preserve"> </v>
          </cell>
          <cell r="J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H151" t="str">
            <v xml:space="preserve"> </v>
          </cell>
          <cell r="I151" t="str">
            <v xml:space="preserve"> </v>
          </cell>
          <cell r="J151" t="str">
            <v xml:space="preserve"> </v>
          </cell>
          <cell r="M151" t="str">
            <v xml:space="preserve"> </v>
          </cell>
          <cell r="N151" t="str">
            <v xml:space="preserve"> </v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H154" t="str">
            <v xml:space="preserve"> </v>
          </cell>
          <cell r="I154" t="str">
            <v xml:space="preserve"> </v>
          </cell>
          <cell r="J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H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M155" t="str">
            <v xml:space="preserve"> </v>
          </cell>
          <cell r="N155" t="str">
            <v xml:space="preserve"> </v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H156" t="str">
            <v xml:space="preserve"> </v>
          </cell>
          <cell r="I156" t="str">
            <v xml:space="preserve"> </v>
          </cell>
          <cell r="J156" t="str">
            <v xml:space="preserve"> </v>
          </cell>
          <cell r="M156" t="str">
            <v xml:space="preserve"> </v>
          </cell>
          <cell r="N156" t="str">
            <v xml:space="preserve"> </v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H157" t="str">
            <v xml:space="preserve"> </v>
          </cell>
          <cell r="I157" t="str">
            <v xml:space="preserve"> </v>
          </cell>
          <cell r="J157" t="str">
            <v xml:space="preserve"> </v>
          </cell>
          <cell r="M157" t="str">
            <v xml:space="preserve"> </v>
          </cell>
          <cell r="N157" t="str">
            <v xml:space="preserve"> </v>
          </cell>
          <cell r="P157" t="str">
            <v/>
          </cell>
          <cell r="Q157" t="str">
            <v/>
          </cell>
          <cell r="R157" t="str">
            <v/>
          </cell>
        </row>
        <row r="158">
          <cell r="H158" t="str">
            <v xml:space="preserve"> </v>
          </cell>
          <cell r="I158" t="str">
            <v xml:space="preserve"> </v>
          </cell>
          <cell r="J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H159" t="str">
            <v xml:space="preserve"> </v>
          </cell>
          <cell r="I159" t="str">
            <v xml:space="preserve"> </v>
          </cell>
          <cell r="J159" t="str">
            <v xml:space="preserve"> </v>
          </cell>
          <cell r="M159" t="str">
            <v xml:space="preserve"> </v>
          </cell>
          <cell r="N159" t="str">
            <v xml:space="preserve"> </v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M160" t="str">
            <v xml:space="preserve"> </v>
          </cell>
          <cell r="N160" t="str">
            <v xml:space="preserve"> </v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H161" t="str">
            <v xml:space="preserve"> </v>
          </cell>
          <cell r="I161" t="str">
            <v xml:space="preserve"> </v>
          </cell>
          <cell r="J161" t="str">
            <v xml:space="preserve"> </v>
          </cell>
          <cell r="M161" t="str">
            <v xml:space="preserve"> </v>
          </cell>
          <cell r="N161" t="str">
            <v xml:space="preserve"> </v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M165" t="str">
            <v xml:space="preserve"> </v>
          </cell>
          <cell r="N165" t="str">
            <v xml:space="preserve"> </v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H166" t="str">
            <v xml:space="preserve"> </v>
          </cell>
          <cell r="I166" t="str">
            <v xml:space="preserve"> </v>
          </cell>
          <cell r="J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M167" t="str">
            <v xml:space="preserve"> </v>
          </cell>
          <cell r="N167" t="str">
            <v xml:space="preserve"> </v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H168" t="str">
            <v xml:space="preserve"> </v>
          </cell>
          <cell r="I168" t="str">
            <v xml:space="preserve"> </v>
          </cell>
          <cell r="J168" t="str">
            <v xml:space="preserve"> </v>
          </cell>
          <cell r="M168" t="str">
            <v xml:space="preserve"> </v>
          </cell>
          <cell r="N168" t="str">
            <v xml:space="preserve"> </v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H169" t="str">
            <v xml:space="preserve"> </v>
          </cell>
          <cell r="I169" t="str">
            <v xml:space="preserve"> </v>
          </cell>
          <cell r="J169" t="str">
            <v xml:space="preserve"> </v>
          </cell>
          <cell r="M169" t="str">
            <v xml:space="preserve"> </v>
          </cell>
          <cell r="N169" t="str">
            <v xml:space="preserve"> </v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H171" t="str">
            <v xml:space="preserve"> </v>
          </cell>
          <cell r="I171" t="str">
            <v xml:space="preserve"> </v>
          </cell>
          <cell r="J171" t="str">
            <v xml:space="preserve"> </v>
          </cell>
          <cell r="M171" t="str">
            <v xml:space="preserve"> </v>
          </cell>
          <cell r="N171" t="str">
            <v xml:space="preserve"> </v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H172" t="str">
            <v xml:space="preserve"> </v>
          </cell>
          <cell r="I172" t="str">
            <v xml:space="preserve"> </v>
          </cell>
          <cell r="J172" t="str">
            <v xml:space="preserve"> </v>
          </cell>
          <cell r="M172" t="str">
            <v xml:space="preserve"> </v>
          </cell>
          <cell r="N172" t="str">
            <v xml:space="preserve"> </v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H173" t="str">
            <v xml:space="preserve"> </v>
          </cell>
          <cell r="I173" t="str">
            <v xml:space="preserve"> </v>
          </cell>
          <cell r="J173" t="str">
            <v xml:space="preserve"> </v>
          </cell>
          <cell r="M173" t="str">
            <v xml:space="preserve"> </v>
          </cell>
          <cell r="N173" t="str">
            <v xml:space="preserve"> </v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M176" t="str">
            <v xml:space="preserve"> </v>
          </cell>
          <cell r="N176" t="str">
            <v xml:space="preserve"> </v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H177" t="str">
            <v xml:space="preserve"> </v>
          </cell>
          <cell r="I177" t="str">
            <v xml:space="preserve"> </v>
          </cell>
          <cell r="J177" t="str">
            <v xml:space="preserve"> </v>
          </cell>
          <cell r="M177" t="str">
            <v xml:space="preserve"> </v>
          </cell>
          <cell r="N177" t="str">
            <v xml:space="preserve"> </v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H179" t="str">
            <v xml:space="preserve"> </v>
          </cell>
          <cell r="I179" t="str">
            <v xml:space="preserve"> </v>
          </cell>
          <cell r="J179" t="str">
            <v xml:space="preserve"> </v>
          </cell>
          <cell r="M179" t="str">
            <v xml:space="preserve"> </v>
          </cell>
          <cell r="N179" t="str">
            <v xml:space="preserve"> </v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H180" t="str">
            <v xml:space="preserve"> </v>
          </cell>
          <cell r="I180" t="str">
            <v xml:space="preserve"> </v>
          </cell>
          <cell r="J180" t="str">
            <v xml:space="preserve"> </v>
          </cell>
          <cell r="M180" t="str">
            <v xml:space="preserve"> </v>
          </cell>
          <cell r="N180" t="str">
            <v xml:space="preserve"> </v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M181" t="str">
            <v xml:space="preserve"> </v>
          </cell>
          <cell r="N181" t="str">
            <v xml:space="preserve"> </v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H182" t="str">
            <v xml:space="preserve"> </v>
          </cell>
          <cell r="I182" t="str">
            <v xml:space="preserve"> </v>
          </cell>
          <cell r="J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H183" t="str">
            <v xml:space="preserve"> </v>
          </cell>
          <cell r="I183" t="str">
            <v xml:space="preserve"> </v>
          </cell>
          <cell r="J183" t="str">
            <v xml:space="preserve"> </v>
          </cell>
          <cell r="M183" t="str">
            <v xml:space="preserve"> </v>
          </cell>
          <cell r="N183" t="str">
            <v xml:space="preserve"> </v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H184" t="str">
            <v xml:space="preserve"> </v>
          </cell>
          <cell r="I184" t="str">
            <v xml:space="preserve"> </v>
          </cell>
          <cell r="J184" t="str">
            <v xml:space="preserve"> </v>
          </cell>
          <cell r="M184" t="str">
            <v xml:space="preserve"> </v>
          </cell>
          <cell r="N184" t="str">
            <v xml:space="preserve"> </v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P185" t="str">
            <v/>
          </cell>
          <cell r="Q185" t="str">
            <v/>
          </cell>
          <cell r="R185" t="str">
            <v/>
          </cell>
        </row>
      </sheetData>
      <sheetData sheetId="12">
        <row r="3">
          <cell r="H3">
            <v>5.9425449780322959</v>
          </cell>
          <cell r="I3">
            <v>21</v>
          </cell>
          <cell r="R3">
            <v>13.101069089923836</v>
          </cell>
        </row>
        <row r="4">
          <cell r="H4">
            <v>6.0312043586488446</v>
          </cell>
          <cell r="I4">
            <v>22</v>
          </cell>
          <cell r="J4">
            <v>88.659380616548404</v>
          </cell>
          <cell r="M4">
            <v>9.9530530769099387E-2</v>
          </cell>
          <cell r="N4">
            <v>1.1226170324781388</v>
          </cell>
          <cell r="P4">
            <v>0.19546047614634346</v>
          </cell>
          <cell r="Q4">
            <v>0.21942725969817214</v>
          </cell>
          <cell r="R4">
            <v>13.296529566070181</v>
          </cell>
        </row>
        <row r="5">
          <cell r="H5">
            <v>6.1457977658647787</v>
          </cell>
          <cell r="I5">
            <v>23</v>
          </cell>
          <cell r="J5">
            <v>114.59340721593419</v>
          </cell>
          <cell r="M5">
            <v>0.12989348658283709</v>
          </cell>
          <cell r="N5">
            <v>1.1335162269682073</v>
          </cell>
          <cell r="P5">
            <v>0.25263521786297727</v>
          </cell>
          <cell r="Q5">
            <v>0.28636611895133307</v>
          </cell>
          <cell r="R5">
            <v>13.549164783933158</v>
          </cell>
        </row>
        <row r="6">
          <cell r="H6">
            <v>6.2857077228563014</v>
          </cell>
          <cell r="I6">
            <v>24</v>
          </cell>
          <cell r="J6">
            <v>139.90995699152279</v>
          </cell>
          <cell r="M6">
            <v>0.16011511239666573</v>
          </cell>
          <cell r="N6">
            <v>1.1444154214582969</v>
          </cell>
          <cell r="P6">
            <v>0.30844865620540041</v>
          </cell>
          <cell r="Q6">
            <v>0.35299339888954862</v>
          </cell>
          <cell r="R6">
            <v>13.857613440138557</v>
          </cell>
        </row>
        <row r="7">
          <cell r="H7">
            <v>6.4503167527996208</v>
          </cell>
          <cell r="I7">
            <v>25</v>
          </cell>
          <cell r="J7">
            <v>164.60902994331906</v>
          </cell>
          <cell r="M7">
            <v>0.19017521821059849</v>
          </cell>
          <cell r="N7">
            <v>1.1553146159483647</v>
          </cell>
          <cell r="P7">
            <v>0.36290079117362367</v>
          </cell>
          <cell r="Q7">
            <v>0.41926458818211271</v>
          </cell>
          <cell r="R7">
            <v>14.220514231312182</v>
          </cell>
        </row>
        <row r="8">
          <cell r="H8">
            <v>6.6390073788709403</v>
          </cell>
          <cell r="I8">
            <v>26</v>
          </cell>
          <cell r="J8">
            <v>188.69062607131909</v>
          </cell>
          <cell r="M8">
            <v>0.2221101898566567</v>
          </cell>
          <cell r="N8">
            <v>1.1771130049285334</v>
          </cell>
          <cell r="P8">
            <v>0.41599162276763846</v>
          </cell>
          <cell r="Q8">
            <v>0.48966914910111187</v>
          </cell>
          <cell r="R8">
            <v>14.63650585407982</v>
          </cell>
        </row>
        <row r="9">
          <cell r="H9">
            <v>6.8511621242464651</v>
          </cell>
          <cell r="I9">
            <v>27</v>
          </cell>
          <cell r="J9">
            <v>212.1547453755249</v>
          </cell>
          <cell r="M9">
            <v>0.25302082746170701</v>
          </cell>
          <cell r="N9">
            <v>1.1926239359569688</v>
          </cell>
          <cell r="P9">
            <v>0.46772115098744915</v>
          </cell>
          <cell r="Q9">
            <v>0.55781544002097516</v>
          </cell>
          <cell r="R9">
            <v>15.104227005067269</v>
          </cell>
        </row>
        <row r="10">
          <cell r="H10">
            <v>7.0861635121023996</v>
          </cell>
          <cell r="I10">
            <v>28</v>
          </cell>
          <cell r="J10">
            <v>235.00138785593444</v>
          </cell>
          <cell r="M10">
            <v>0.28393146506675682</v>
          </cell>
          <cell r="N10">
            <v>1.2082118648627664</v>
          </cell>
          <cell r="P10">
            <v>0.51808937583305126</v>
          </cell>
          <cell r="Q10">
            <v>0.6259617309408374</v>
          </cell>
          <cell r="R10">
            <v>15.622316380900321</v>
          </cell>
        </row>
        <row r="11">
          <cell r="H11">
            <v>7.3433940656149517</v>
          </cell>
          <cell r="I11">
            <v>29</v>
          </cell>
          <cell r="J11">
            <v>257.23055351255169</v>
          </cell>
          <cell r="M11">
            <v>0.31484210267180984</v>
          </cell>
          <cell r="N11">
            <v>1.2239685308473551</v>
          </cell>
          <cell r="P11">
            <v>0.56709629730445354</v>
          </cell>
          <cell r="Q11">
            <v>0.69410802186070686</v>
          </cell>
          <cell r="R11">
            <v>16.189412678204775</v>
          </cell>
        </row>
        <row r="12">
          <cell r="H12">
            <v>7.622236307960323</v>
          </cell>
          <cell r="I12">
            <v>30</v>
          </cell>
          <cell r="J12">
            <v>278.84224234537174</v>
          </cell>
          <cell r="M12">
            <v>0.34575274027686009</v>
          </cell>
          <cell r="N12">
            <v>1.2399582551362989</v>
          </cell>
          <cell r="P12">
            <v>0.61474191540164513</v>
          </cell>
          <cell r="Q12">
            <v>0.7622543127805701</v>
          </cell>
          <cell r="R12">
            <v>16.80415459360642</v>
          </cell>
        </row>
        <row r="13">
          <cell r="H13">
            <v>7.9220727623147207</v>
          </cell>
          <cell r="I13">
            <v>31</v>
          </cell>
          <cell r="J13">
            <v>299.83645435439746</v>
          </cell>
          <cell r="M13">
            <v>0.37666337788191112</v>
          </cell>
          <cell r="N13">
            <v>1.2562294291164027</v>
          </cell>
          <cell r="P13">
            <v>0.66102623012463246</v>
          </cell>
          <cell r="Q13">
            <v>0.830400603700435</v>
          </cell>
          <cell r="R13">
            <v>17.465180823731053</v>
          </cell>
        </row>
        <row r="14">
          <cell r="H14">
            <v>8.2422859518543508</v>
          </cell>
          <cell r="I14">
            <v>32</v>
          </cell>
          <cell r="J14">
            <v>320.21318953962992</v>
          </cell>
          <cell r="M14">
            <v>0.40757401548696276</v>
          </cell>
          <cell r="N14">
            <v>1.2728208231301508</v>
          </cell>
          <cell r="P14">
            <v>0.70594924147341787</v>
          </cell>
          <cell r="Q14">
            <v>0.89854689462030146</v>
          </cell>
          <cell r="R14">
            <v>18.171130065204469</v>
          </cell>
        </row>
        <row r="15">
          <cell r="H15">
            <v>8.5822583997554158</v>
          </cell>
          <cell r="I15">
            <v>33</v>
          </cell>
          <cell r="J15">
            <v>339.97244790106521</v>
          </cell>
          <cell r="M15">
            <v>0.43848465309201295</v>
          </cell>
          <cell r="N15">
            <v>1.289765261270865</v>
          </cell>
          <cell r="P15">
            <v>0.74951094944799268</v>
          </cell>
          <cell r="Q15">
            <v>0.96669318554016448</v>
          </cell>
          <cell r="R15">
            <v>18.92064101465246</v>
          </cell>
        </row>
        <row r="16">
          <cell r="H16">
            <v>8.9413726291941238</v>
          </cell>
          <cell r="I16">
            <v>34</v>
          </cell>
          <cell r="J16">
            <v>359.11422943870821</v>
          </cell>
          <cell r="M16">
            <v>0.46939529069706648</v>
          </cell>
          <cell r="N16">
            <v>1.3070918727746501</v>
          </cell>
          <cell r="P16">
            <v>0.79171135404836768</v>
          </cell>
          <cell r="Q16">
            <v>1.0348394764600348</v>
          </cell>
          <cell r="R16">
            <v>19.712352368700831</v>
          </cell>
        </row>
        <row r="17">
          <cell r="H17">
            <v>9.3190111633466763</v>
          </cell>
          <cell r="I17">
            <v>35</v>
          </cell>
          <cell r="J17">
            <v>377.63853415255193</v>
          </cell>
          <cell r="M17">
            <v>0.50030592830211296</v>
          </cell>
          <cell r="N17">
            <v>1.3248275349464416</v>
          </cell>
          <cell r="P17">
            <v>0.83255045527452742</v>
          </cell>
          <cell r="Q17">
            <v>1.1029857673798897</v>
          </cell>
          <cell r="R17">
            <v>20.544902823975359</v>
          </cell>
        </row>
        <row r="18">
          <cell r="H18">
            <v>9.7145565253892805</v>
          </cell>
          <cell r="I18">
            <v>36</v>
          </cell>
          <cell r="J18">
            <v>395.54536204260438</v>
          </cell>
          <cell r="M18">
            <v>0.53121656590716815</v>
          </cell>
          <cell r="N18">
            <v>1.34299783762842</v>
          </cell>
          <cell r="P18">
            <v>0.87202825312648968</v>
          </cell>
          <cell r="Q18">
            <v>1.171132058299764</v>
          </cell>
          <cell r="R18">
            <v>21.41693107710185</v>
          </cell>
        </row>
        <row r="19">
          <cell r="H19">
            <v>10.127391238498141</v>
          </cell>
          <cell r="I19">
            <v>37</v>
          </cell>
          <cell r="J19">
            <v>412.83471310886159</v>
          </cell>
          <cell r="M19">
            <v>0.56212720351221901</v>
          </cell>
          <cell r="N19">
            <v>1.3616277547958766</v>
          </cell>
          <cell r="P19">
            <v>0.91014474760424557</v>
          </cell>
          <cell r="Q19">
            <v>1.2392783492196286</v>
          </cell>
          <cell r="R19">
            <v>22.327075824706093</v>
          </cell>
        </row>
        <row r="20">
          <cell r="H20">
            <v>10.556897825849465</v>
          </cell>
          <cell r="I20">
            <v>38</v>
          </cell>
          <cell r="J20">
            <v>429.50658735132356</v>
          </cell>
          <cell r="M20">
            <v>0.59303784111726809</v>
          </cell>
          <cell r="N20">
            <v>1.3807421319761526</v>
          </cell>
          <cell r="P20">
            <v>0.94689993870779521</v>
          </cell>
          <cell r="Q20">
            <v>1.3074246401394893</v>
          </cell>
          <cell r="R20">
            <v>23.273975763413887</v>
          </cell>
        </row>
        <row r="21">
          <cell r="H21">
            <v>11.002458810619455</v>
          </cell>
          <cell r="I21">
            <v>39</v>
          </cell>
          <cell r="J21">
            <v>445.56098476999023</v>
          </cell>
          <cell r="M21">
            <v>0.62394847872232062</v>
          </cell>
          <cell r="N21">
            <v>1.4003660554893929</v>
          </cell>
          <cell r="P21">
            <v>0.98229382643713825</v>
          </cell>
          <cell r="Q21">
            <v>1.3755709310593573</v>
          </cell>
          <cell r="R21">
            <v>24.256269589851026</v>
          </cell>
        </row>
        <row r="22">
          <cell r="H22">
            <v>11.463456715984316</v>
          </cell>
          <cell r="I22">
            <v>40</v>
          </cell>
          <cell r="J22">
            <v>460.99790536486171</v>
          </cell>
          <cell r="M22">
            <v>0.65485911632737415</v>
          </cell>
          <cell r="N22">
            <v>1.4205251449224676</v>
          </cell>
          <cell r="P22">
            <v>1.0163264107922751</v>
          </cell>
          <cell r="Q22">
            <v>1.443717221979228</v>
          </cell>
          <cell r="R22">
            <v>25.272596000643301</v>
          </cell>
        </row>
        <row r="23">
          <cell r="H23">
            <v>11.939274065120255</v>
          </cell>
          <cell r="I23">
            <v>41</v>
          </cell>
          <cell r="J23">
            <v>475.81734913593982</v>
          </cell>
          <cell r="M23">
            <v>0.67958762641141002</v>
          </cell>
          <cell r="N23">
            <v>1.4282531472328754</v>
          </cell>
          <cell r="P23">
            <v>1.04899769177321</v>
          </cell>
          <cell r="Q23">
            <v>1.4982342547151091</v>
          </cell>
          <cell r="R23">
            <v>26.321593692416506</v>
          </cell>
        </row>
        <row r="24">
          <cell r="H24">
            <v>12.429293381203475</v>
          </cell>
          <cell r="I24">
            <v>42</v>
          </cell>
          <cell r="J24">
            <v>490.01931608322076</v>
          </cell>
          <cell r="M24">
            <v>0.70431613649545222</v>
          </cell>
          <cell r="N24">
            <v>1.4373232102871576</v>
          </cell>
          <cell r="P24">
            <v>1.0803076693799341</v>
          </cell>
          <cell r="Q24">
            <v>1.5527512874510039</v>
          </cell>
          <cell r="R24">
            <v>27.40190136179644</v>
          </cell>
        </row>
        <row r="25">
          <cell r="H25">
            <v>12.93028505171282</v>
          </cell>
          <cell r="I25">
            <v>43</v>
          </cell>
          <cell r="J25">
            <v>500.99167050934449</v>
          </cell>
          <cell r="M25">
            <v>0.72904464657949553</v>
          </cell>
          <cell r="N25">
            <v>1.4552031291025174</v>
          </cell>
          <cell r="P25">
            <v>1.1044975701627091</v>
          </cell>
          <cell r="Q25">
            <v>1.6072683201869016</v>
          </cell>
          <cell r="R25">
            <v>28.506398931959151</v>
          </cell>
        </row>
        <row r="26">
          <cell r="H26">
            <v>13.44249476606848</v>
          </cell>
          <cell r="I26">
            <v>44</v>
          </cell>
          <cell r="J26">
            <v>512.20971435566025</v>
          </cell>
          <cell r="M26">
            <v>0.75377315666353273</v>
          </cell>
          <cell r="N26">
            <v>1.4716104274042321</v>
          </cell>
          <cell r="P26">
            <v>1.1292291233991882</v>
          </cell>
          <cell r="Q26">
            <v>1.6617853529227855</v>
          </cell>
          <cell r="R26">
            <v>29.635628055358335</v>
          </cell>
        </row>
        <row r="27">
          <cell r="H27">
            <v>13.966173715088882</v>
          </cell>
          <cell r="I27">
            <v>45</v>
          </cell>
          <cell r="J27">
            <v>523.67894902040234</v>
          </cell>
          <cell r="M27">
            <v>0.77850166674757804</v>
          </cell>
          <cell r="N27">
            <v>1.4866010333312976</v>
          </cell>
          <cell r="P27">
            <v>1.1545144575963708</v>
          </cell>
          <cell r="Q27">
            <v>1.7163023856586874</v>
          </cell>
          <cell r="R27">
            <v>30.790142512954706</v>
          </cell>
        </row>
        <row r="28">
          <cell r="H28">
            <v>14.501578714176203</v>
          </cell>
          <cell r="I28">
            <v>46</v>
          </cell>
          <cell r="J28">
            <v>535.40499908732124</v>
          </cell>
          <cell r="M28">
            <v>0.8032301768316138</v>
          </cell>
          <cell r="N28">
            <v>1.5002291315935434</v>
          </cell>
          <cell r="P28">
            <v>1.1803659728388316</v>
          </cell>
          <cell r="Q28">
            <v>1.7708194183945682</v>
          </cell>
          <cell r="R28">
            <v>31.970508485793538</v>
          </cell>
        </row>
        <row r="29">
          <cell r="H29">
            <v>15.048972329260261</v>
          </cell>
          <cell r="I29">
            <v>47</v>
          </cell>
          <cell r="J29">
            <v>547.39361508405841</v>
          </cell>
          <cell r="M29">
            <v>0.83166796342826399</v>
          </cell>
          <cell r="N29">
            <v>1.5193234639767439</v>
          </cell>
          <cell r="P29">
            <v>1.2067963468698963</v>
          </cell>
          <cell r="Q29">
            <v>1.833514006040851</v>
          </cell>
          <cell r="R29">
            <v>33.177304832663438</v>
          </cell>
        </row>
        <row r="30">
          <cell r="H30">
            <v>15.60862300556245</v>
          </cell>
          <cell r="I30">
            <v>48</v>
          </cell>
          <cell r="J30">
            <v>559.65067630218937</v>
          </cell>
          <cell r="M30">
            <v>0.86010575002491485</v>
          </cell>
          <cell r="N30">
            <v>1.5368618076331808</v>
          </cell>
          <cell r="P30">
            <v>1.2338185413087732</v>
          </cell>
          <cell r="Q30">
            <v>1.8962085936871353</v>
          </cell>
          <cell r="R30">
            <v>34.41112337397221</v>
          </cell>
        </row>
        <row r="31">
          <cell r="H31">
            <v>16.180805199242954</v>
          </cell>
          <cell r="I31">
            <v>49</v>
          </cell>
          <cell r="J31">
            <v>572.18219368050291</v>
          </cell>
          <cell r="M31">
            <v>0.88854353662155761</v>
          </cell>
          <cell r="N31">
            <v>1.5529031599289957</v>
          </cell>
          <cell r="P31">
            <v>1.2614458080070943</v>
          </cell>
          <cell r="Q31">
            <v>1.9589031813334019</v>
          </cell>
          <cell r="R31">
            <v>35.672569181979298</v>
          </cell>
        </row>
        <row r="32">
          <cell r="H32">
            <v>16.765799511995745</v>
          </cell>
          <cell r="I32">
            <v>50</v>
          </cell>
          <cell r="J32">
            <v>584.99431275278982</v>
          </cell>
          <cell r="M32">
            <v>0.91698132321820192</v>
          </cell>
          <cell r="N32">
            <v>1.5675046803501234</v>
          </cell>
          <cell r="P32">
            <v>1.2896916955476783</v>
          </cell>
          <cell r="Q32">
            <v>2.0215977689796718</v>
          </cell>
          <cell r="R32">
            <v>36.962260877526987</v>
          </cell>
        </row>
        <row r="33">
          <cell r="H33">
            <v>17.363892828657391</v>
          </cell>
          <cell r="I33">
            <v>51</v>
          </cell>
          <cell r="J33">
            <v>598.09331666164519</v>
          </cell>
          <cell r="M33">
            <v>0.94541910981484922</v>
          </cell>
          <cell r="N33">
            <v>1.5807217427070732</v>
          </cell>
          <cell r="P33">
            <v>1.3185700558888263</v>
          </cell>
          <cell r="Q33">
            <v>2.0842923566259484</v>
          </cell>
          <cell r="R33">
            <v>38.280830933415814</v>
          </cell>
        </row>
        <row r="34">
          <cell r="H34">
            <v>17.975378457897168</v>
          </cell>
          <cell r="I34">
            <v>52</v>
          </cell>
          <cell r="J34">
            <v>611.48562923977795</v>
          </cell>
          <cell r="M34">
            <v>0.97385689641150275</v>
          </cell>
          <cell r="N34">
            <v>1.5926079859345812</v>
          </cell>
          <cell r="P34">
            <v>1.3480950511574477</v>
          </cell>
          <cell r="Q34">
            <v>2.1469869442722391</v>
          </cell>
          <cell r="R34">
            <v>39.628925984573257</v>
          </cell>
        </row>
        <row r="35">
          <cell r="H35">
            <v>18.600556276057425</v>
          </cell>
          <cell r="I35">
            <v>53</v>
          </cell>
          <cell r="J35">
            <v>625.17781816025695</v>
          </cell>
          <cell r="M35">
            <v>1.0022946830081474</v>
          </cell>
          <cell r="N35">
            <v>1.603215363522736</v>
          </cell>
          <cell r="P35">
            <v>1.3782811605941627</v>
          </cell>
          <cell r="Q35">
            <v>2.2096815319185095</v>
          </cell>
          <cell r="R35">
            <v>41.00720714516742</v>
          </cell>
        </row>
        <row r="36">
          <cell r="H36">
            <v>19.239732874214841</v>
          </cell>
          <cell r="I36">
            <v>54</v>
          </cell>
          <cell r="J36">
            <v>639.17659815741717</v>
          </cell>
          <cell r="M36">
            <v>1.0307324696047948</v>
          </cell>
          <cell r="N36">
            <v>1.6125941916148576</v>
          </cell>
          <cell r="P36">
            <v>1.4091431876541864</v>
          </cell>
          <cell r="Q36">
            <v>2.2723761195647865</v>
          </cell>
          <cell r="R36">
            <v>42.416350332821601</v>
          </cell>
        </row>
        <row r="37">
          <cell r="H37">
            <v>19.89322170853454</v>
          </cell>
          <cell r="I37">
            <v>55</v>
          </cell>
          <cell r="J37">
            <v>653.48883431970069</v>
          </cell>
          <cell r="M37">
            <v>1.0616431072098398</v>
          </cell>
          <cell r="N37">
            <v>1.6245772711863371</v>
          </cell>
          <cell r="P37">
            <v>1.4406962672667987</v>
          </cell>
          <cell r="Q37">
            <v>2.3405224104846378</v>
          </cell>
          <cell r="R37">
            <v>43.857046600088402</v>
          </cell>
        </row>
        <row r="38">
          <cell r="H38">
            <v>20.561343253990987</v>
          </cell>
          <cell r="I38">
            <v>56</v>
          </cell>
          <cell r="J38">
            <v>668.1215454564466</v>
          </cell>
          <cell r="M38">
            <v>1.0925537448148988</v>
          </cell>
          <cell r="N38">
            <v>1.6352619553205532</v>
          </cell>
          <cell r="P38">
            <v>1.4729558732578474</v>
          </cell>
          <cell r="Q38">
            <v>2.4086687014045207</v>
          </cell>
          <cell r="R38">
            <v>45.330002473346248</v>
          </cell>
        </row>
        <row r="39">
          <cell r="H39">
            <v>21.244425161530856</v>
          </cell>
          <cell r="I39">
            <v>57</v>
          </cell>
          <cell r="J39">
            <v>683.08190753986833</v>
          </cell>
          <cell r="M39">
            <v>1.1296465099409534</v>
          </cell>
          <cell r="N39">
            <v>1.65374971503695</v>
          </cell>
          <cell r="P39">
            <v>1.5059378259380074</v>
          </cell>
          <cell r="Q39">
            <v>2.4904442505083439</v>
          </cell>
          <cell r="R39">
            <v>46.835940299284253</v>
          </cell>
        </row>
        <row r="40">
          <cell r="H40">
            <v>21.942802418755118</v>
          </cell>
          <cell r="I40">
            <v>58</v>
          </cell>
          <cell r="J40">
            <v>698.37725722426308</v>
          </cell>
          <cell r="M40">
            <v>1.1667392750670169</v>
          </cell>
          <cell r="N40">
            <v>1.6706432848404646</v>
          </cell>
          <cell r="P40">
            <v>1.5396582998613118</v>
          </cell>
          <cell r="Q40">
            <v>2.5722197996121872</v>
          </cell>
          <cell r="R40">
            <v>48.375598599145569</v>
          </cell>
        </row>
        <row r="41">
          <cell r="H41">
            <v>22.65681751419902</v>
          </cell>
          <cell r="I41">
            <v>59</v>
          </cell>
          <cell r="J41">
            <v>714.0150954438999</v>
          </cell>
          <cell r="M41">
            <v>1.2038320401930815</v>
          </cell>
          <cell r="N41">
            <v>1.6860036263584384</v>
          </cell>
          <cell r="P41">
            <v>1.5741338317571345</v>
          </cell>
          <cell r="Q41">
            <v>2.6539953487160322</v>
          </cell>
          <cell r="R41">
            <v>49.949732430902706</v>
          </cell>
        </row>
        <row r="42">
          <cell r="H42">
            <v>23.386411686162123</v>
          </cell>
          <cell r="I42">
            <v>60</v>
          </cell>
          <cell r="J42">
            <v>729.5941719631046</v>
          </cell>
          <cell r="M42">
            <v>1.2323888024303842</v>
          </cell>
          <cell r="N42">
            <v>1.6891428821510732</v>
          </cell>
          <cell r="P42">
            <v>1.6084798162788863</v>
          </cell>
          <cell r="Q42">
            <v>2.7169522327511464</v>
          </cell>
          <cell r="R42">
            <v>51.558212247181586</v>
          </cell>
        </row>
        <row r="43">
          <cell r="H43">
            <v>24.157720482159402</v>
          </cell>
          <cell r="I43">
            <v>61</v>
          </cell>
          <cell r="J43">
            <v>771.30879599727928</v>
          </cell>
          <cell r="M43">
            <v>1.3317222437737068</v>
          </cell>
          <cell r="N43">
            <v>1.7265746879650576</v>
          </cell>
          <cell r="P43">
            <v>1.7004448200865443</v>
          </cell>
          <cell r="Q43">
            <v>2.9359449846427239</v>
          </cell>
          <cell r="R43">
            <v>53.258657067268132</v>
          </cell>
        </row>
        <row r="44">
          <cell r="H44">
            <v>24.940610958849899</v>
          </cell>
          <cell r="I44">
            <v>62</v>
          </cell>
          <cell r="J44">
            <v>782.89047669049739</v>
          </cell>
          <cell r="M44">
            <v>1.3695936769073314</v>
          </cell>
          <cell r="N44">
            <v>1.7494064849236597</v>
          </cell>
          <cell r="P44">
            <v>1.7259780553418422</v>
          </cell>
          <cell r="Q44">
            <v>3.0194372028509457</v>
          </cell>
          <cell r="R44">
            <v>54.984635122609973</v>
          </cell>
        </row>
        <row r="45">
          <cell r="H45">
            <v>25.734930626210435</v>
          </cell>
          <cell r="I45">
            <v>63</v>
          </cell>
          <cell r="J45">
            <v>794.31966736053687</v>
          </cell>
          <cell r="M45">
            <v>1.4076357623704892</v>
          </cell>
          <cell r="N45">
            <v>1.7721275453847876</v>
          </cell>
          <cell r="P45">
            <v>1.7511751076424342</v>
          </cell>
          <cell r="Q45">
            <v>3.103305645045328</v>
          </cell>
          <cell r="R45">
            <v>56.735810230252405</v>
          </cell>
        </row>
        <row r="46">
          <cell r="H46">
            <v>26.540523845064332</v>
          </cell>
          <cell r="I46">
            <v>64</v>
          </cell>
          <cell r="J46">
            <v>805.59321885389659</v>
          </cell>
          <cell r="M46">
            <v>1.4458206768822923</v>
          </cell>
          <cell r="N46">
            <v>1.7947279632507784</v>
          </cell>
          <cell r="P46">
            <v>1.7760290342932721</v>
          </cell>
          <cell r="Q46">
            <v>3.187488971391411</v>
          </cell>
          <cell r="R46">
            <v>58.511839264545678</v>
          </cell>
        </row>
        <row r="47">
          <cell r="H47">
            <v>27.357231954388702</v>
          </cell>
          <cell r="I47">
            <v>65</v>
          </cell>
          <cell r="J47">
            <v>816.70810932437041</v>
          </cell>
          <cell r="M47">
            <v>1.4841206102026687</v>
          </cell>
          <cell r="N47">
            <v>1.8171983273564183</v>
          </cell>
          <cell r="P47">
            <v>1.8005331732638501</v>
          </cell>
          <cell r="Q47">
            <v>3.2719258708048127</v>
          </cell>
          <cell r="R47">
            <v>60.312372437809529</v>
          </cell>
        </row>
        <row r="48">
          <cell r="H48">
            <v>28.184893398714486</v>
          </cell>
          <cell r="I48">
            <v>66</v>
          </cell>
          <cell r="J48">
            <v>827.66144432578335</v>
          </cell>
          <cell r="M48">
            <v>1.5225078247950621</v>
          </cell>
          <cell r="N48">
            <v>1.8395297198304357</v>
          </cell>
          <cell r="P48">
            <v>1.8246811433926531</v>
          </cell>
          <cell r="Q48">
            <v>3.3565551924849659</v>
          </cell>
          <cell r="R48">
            <v>62.137053581202181</v>
          </cell>
        </row>
        <row r="49">
          <cell r="H49">
            <v>29.023343855536812</v>
          </cell>
          <cell r="I49">
            <v>67</v>
          </cell>
          <cell r="J49">
            <v>838.45045682232421</v>
          </cell>
          <cell r="M49">
            <v>1.5609547148203309</v>
          </cell>
          <cell r="N49">
            <v>1.8617137150073881</v>
          </cell>
          <cell r="P49">
            <v>1.8484668444099361</v>
          </cell>
          <cell r="Q49">
            <v>3.4413160759744059</v>
          </cell>
          <cell r="R49">
            <v>63.985520425612123</v>
          </cell>
        </row>
        <row r="50">
          <cell r="H50">
            <v>29.872416362651112</v>
          </cell>
          <cell r="I50">
            <v>68</v>
          </cell>
          <cell r="J50">
            <v>849.07250711430095</v>
          </cell>
          <cell r="M50">
            <v>1.5994338642180628</v>
          </cell>
          <cell r="N50">
            <v>1.8837423786738501</v>
          </cell>
          <cell r="P50">
            <v>1.8718844567740434</v>
          </cell>
          <cell r="Q50">
            <v>3.5261480792061444</v>
          </cell>
          <cell r="R50">
            <v>65.857404882386163</v>
          </cell>
        </row>
        <row r="51">
          <cell r="H51">
            <v>30.731941445326861</v>
          </cell>
          <cell r="I51">
            <v>69</v>
          </cell>
          <cell r="J51">
            <v>859.52508267574899</v>
          </cell>
          <cell r="M51">
            <v>1.6379181036381663</v>
          </cell>
          <cell r="N51">
            <v>1.9056082674623489</v>
          </cell>
          <cell r="P51">
            <v>1.8949284413133956</v>
          </cell>
          <cell r="Q51">
            <v>3.6109913040163488</v>
          </cell>
          <cell r="R51">
            <v>67.752333323699546</v>
          </cell>
        </row>
        <row r="52">
          <cell r="H52">
            <v>31.60174724322971</v>
          </cell>
          <cell r="I52">
            <v>70</v>
          </cell>
          <cell r="J52">
            <v>869.80579790284935</v>
          </cell>
          <cell r="M52">
            <v>1.6763805659938995</v>
          </cell>
          <cell r="N52">
            <v>1.9273044282249521</v>
          </cell>
          <cell r="P52">
            <v>1.9175935386718461</v>
          </cell>
          <cell r="Q52">
            <v>3.6957865186178052</v>
          </cell>
          <cell r="R52">
            <v>69.669926862371398</v>
          </cell>
        </row>
        <row r="53">
          <cell r="H53">
            <v>32.481659637001293</v>
          </cell>
          <cell r="I53">
            <v>71</v>
          </cell>
          <cell r="J53">
            <v>879.91239377158377</v>
          </cell>
          <cell r="M53">
            <v>1.7147947404194683</v>
          </cell>
          <cell r="N53">
            <v>1.9488243972440411</v>
          </cell>
          <cell r="P53">
            <v>1.9398747685539413</v>
          </cell>
          <cell r="Q53">
            <v>3.780475276556059</v>
          </cell>
          <cell r="R53">
            <v>71.609801630925347</v>
          </cell>
        </row>
        <row r="54">
          <cell r="H54">
            <v>33.371502374404294</v>
          </cell>
          <cell r="I54">
            <v>72</v>
          </cell>
          <cell r="J54">
            <v>889.84273740300398</v>
          </cell>
          <cell r="M54">
            <v>1.7531345244234715</v>
          </cell>
          <cell r="N54">
            <v>1.9701621991543974</v>
          </cell>
          <cell r="P54">
            <v>1.9617674287665023</v>
          </cell>
          <cell r="Q54">
            <v>3.8650000316880804</v>
          </cell>
          <cell r="R54">
            <v>73.571569059691839</v>
          </cell>
        </row>
        <row r="55">
          <cell r="H55">
            <v>34.27109719594079</v>
          </cell>
          <cell r="I55">
            <v>73</v>
          </cell>
          <cell r="J55">
            <v>899.59482153649594</v>
          </cell>
          <cell r="M55">
            <v>1.791374274046623</v>
          </cell>
          <cell r="N55">
            <v>1.9913123454701303</v>
          </cell>
          <cell r="P55">
            <v>1.9832670940573711</v>
          </cell>
          <cell r="Q55">
            <v>3.9493042487611132</v>
          </cell>
          <cell r="R55">
            <v>75.554836153749207</v>
          </cell>
        </row>
        <row r="56">
          <cell r="H56">
            <v>35.180263959850777</v>
          </cell>
          <cell r="I56">
            <v>74</v>
          </cell>
          <cell r="J56">
            <v>909.16676390998884</v>
          </cell>
          <cell r="M56">
            <v>1.8294888518419039</v>
          </cell>
          <cell r="N56">
            <v>2.0122698326255914</v>
          </cell>
          <cell r="P56">
            <v>2.0043696147490064</v>
          </cell>
          <cell r="Q56">
            <v>4.0333325091908048</v>
          </cell>
          <cell r="R56">
            <v>77.559205768498217</v>
          </cell>
        </row>
        <row r="57">
          <cell r="H57">
            <v>36.098820766398731</v>
          </cell>
          <cell r="I57">
            <v>75</v>
          </cell>
          <cell r="J57">
            <v>918.55680654795128</v>
          </cell>
          <cell r="M57">
            <v>1.8674536725130217</v>
          </cell>
          <cell r="N57">
            <v>2.033030139454457</v>
          </cell>
          <cell r="P57">
            <v>2.025071115168783</v>
          </cell>
          <cell r="Q57">
            <v>4.1170306116767827</v>
          </cell>
          <cell r="R57">
            <v>79.584276883667002</v>
          </cell>
        </row>
        <row r="58">
          <cell r="H58">
            <v>37.0265840813558</v>
          </cell>
          <cell r="I58">
            <v>76</v>
          </cell>
          <cell r="J58">
            <v>927.76331495707177</v>
          </cell>
          <cell r="M58">
            <v>1.9052447460613486</v>
          </cell>
          <cell r="N58">
            <v>2.0535892240463349</v>
          </cell>
          <cell r="P58">
            <v>2.045367991875771</v>
          </cell>
          <cell r="Q58">
            <v>4.200345667325375</v>
          </cell>
          <cell r="R58">
            <v>81.629644875542766</v>
          </cell>
        </row>
        <row r="59">
          <cell r="H59">
            <v>37.963368858586996</v>
          </cell>
          <cell r="I59">
            <v>77</v>
          </cell>
          <cell r="J59">
            <v>936.78477723119738</v>
          </cell>
          <cell r="M59">
            <v>1.9428387183085387</v>
          </cell>
          <cell r="N59">
            <v>2.0739435199308844</v>
          </cell>
          <cell r="P59">
            <v>2.0652569116874635</v>
          </cell>
          <cell r="Q59">
            <v>4.2832261889866858</v>
          </cell>
          <cell r="R59">
            <v>83.694901787230222</v>
          </cell>
        </row>
        <row r="60">
          <cell r="H60">
            <v>38.908988661652934</v>
          </cell>
          <cell r="I60">
            <v>78</v>
          </cell>
          <cell r="J60">
            <v>945.61980306594012</v>
          </cell>
          <cell r="M60">
            <v>1.9802129086785865</v>
          </cell>
          <cell r="N60">
            <v>2.0940899315541324</v>
          </cell>
          <cell r="P60">
            <v>2.0847348095073559</v>
          </cell>
          <cell r="Q60">
            <v>4.3656221745497756</v>
          </cell>
          <cell r="R60">
            <v>85.779636596737589</v>
          </cell>
        </row>
        <row r="61">
          <cell r="H61">
            <v>39.863255784337632</v>
          </cell>
          <cell r="I61">
            <v>79</v>
          </cell>
          <cell r="J61">
            <v>954.26712268469919</v>
          </cell>
          <cell r="M61">
            <v>2.0173453451399563</v>
          </cell>
          <cell r="N61">
            <v>2.1140258290199005</v>
          </cell>
          <cell r="P61">
            <v>2.1037988859572287</v>
          </cell>
          <cell r="Q61">
            <v>4.4474851839768741</v>
          </cell>
          <cell r="R61">
            <v>87.883435482694807</v>
          </cell>
        </row>
        <row r="62">
          <cell r="H62">
            <v>40.825981370015612</v>
          </cell>
          <cell r="I62">
            <v>80</v>
          </cell>
          <cell r="J62">
            <v>962.72558567797989</v>
          </cell>
          <cell r="M62">
            <v>2.054214796227944</v>
          </cell>
          <cell r="N62">
            <v>2.1337490420817109</v>
          </cell>
          <cell r="P62">
            <v>2.1224466048182862</v>
          </cell>
          <cell r="Q62">
            <v>4.5287684099005983</v>
          </cell>
          <cell r="R62">
            <v>90.005882087513086</v>
          </cell>
        </row>
        <row r="63">
          <cell r="H63">
            <v>41.796975529772723</v>
          </cell>
          <cell r="I63">
            <v>81</v>
          </cell>
          <cell r="J63">
            <v>970.99415975711463</v>
          </cell>
          <cell r="M63">
            <v>2.0908008000813938</v>
          </cell>
          <cell r="N63">
            <v>2.153257853378221</v>
          </cell>
          <cell r="P63">
            <v>2.1406756902835791</v>
          </cell>
          <cell r="Q63">
            <v>4.60942674163896</v>
          </cell>
          <cell r="R63">
            <v>92.146557777796659</v>
          </cell>
        </row>
        <row r="64">
          <cell r="H64">
            <v>42.77604745919831</v>
          </cell>
          <cell r="I64">
            <v>82</v>
          </cell>
          <cell r="J64">
            <v>979.07192942558936</v>
          </cell>
          <cell r="M64">
            <v>2.1270836904500388</v>
          </cell>
          <cell r="N64">
            <v>2.172550990914401</v>
          </cell>
          <cell r="P64">
            <v>2.1584841240287824</v>
          </cell>
          <cell r="Q64">
            <v>4.6894168225317339</v>
          </cell>
          <cell r="R64">
            <v>94.305041901825433</v>
          </cell>
        </row>
        <row r="65">
          <cell r="H65">
            <v>43.763005553767456</v>
          </cell>
          <cell r="I65">
            <v>83</v>
          </cell>
          <cell r="J65">
            <v>986.95809456914344</v>
          </cell>
          <cell r="M65">
            <v>2.1630446196415467</v>
          </cell>
          <cell r="N65">
            <v>2.1916276197986133</v>
          </cell>
          <cell r="P65">
            <v>2.1758701421038968</v>
          </cell>
          <cell r="Q65">
            <v>4.7686971005300345</v>
          </cell>
          <cell r="R65">
            <v>96.480912043929351</v>
          </cell>
        </row>
        <row r="66">
          <cell r="H66">
            <v>44.7576575227353</v>
          </cell>
          <cell r="I66">
            <v>84</v>
          </cell>
          <cell r="J66">
            <v>994.65196896784448</v>
          </cell>
          <cell r="M66">
            <v>2.1944772453961785</v>
          </cell>
          <cell r="N66">
            <v>2.2062764804792967</v>
          </cell>
          <cell r="P66">
            <v>2.1928322316529365</v>
          </cell>
          <cell r="Q66">
            <v>4.8379941783328029</v>
          </cell>
          <cell r="R66">
            <v>98.67374427558228</v>
          </cell>
        </row>
        <row r="67">
          <cell r="H67">
            <v>45.759810501467783</v>
          </cell>
          <cell r="I67">
            <v>85</v>
          </cell>
          <cell r="J67">
            <v>1002.1529787324823</v>
          </cell>
          <cell r="M67">
            <v>2.2355682040656877</v>
          </cell>
          <cell r="N67">
            <v>2.2307654135731076</v>
          </cell>
          <cell r="P67">
            <v>2.2093691274667657</v>
          </cell>
          <cell r="Q67">
            <v>4.9285842353690557</v>
          </cell>
          <cell r="R67">
            <v>100.88311340304905</v>
          </cell>
        </row>
        <row r="68">
          <cell r="H68">
            <v>46.769271162135865</v>
          </cell>
          <cell r="I68">
            <v>86</v>
          </cell>
          <cell r="J68">
            <v>1009.4606606680793</v>
          </cell>
          <cell r="M68">
            <v>2.2762097454294556</v>
          </cell>
          <cell r="N68">
            <v>2.2548771181662675</v>
          </cell>
          <cell r="P68">
            <v>2.2254798083752583</v>
          </cell>
          <cell r="Q68">
            <v>5.0181834968464205</v>
          </cell>
          <cell r="R68">
            <v>103.10859321142431</v>
          </cell>
        </row>
        <row r="69">
          <cell r="H69">
            <v>47.785845822703358</v>
          </cell>
          <cell r="I69">
            <v>87</v>
          </cell>
          <cell r="J69">
            <v>1016.5746605674959</v>
          </cell>
          <cell r="M69">
            <v>2.3163773620582764</v>
          </cell>
          <cell r="N69">
            <v>2.2786101718934981</v>
          </cell>
          <cell r="P69">
            <v>2.2411634934853422</v>
          </cell>
          <cell r="Q69">
            <v>5.1067379331320684</v>
          </cell>
          <cell r="R69">
            <v>105.34975670490965</v>
          </cell>
        </row>
        <row r="70">
          <cell r="H70">
            <v>48.809340554141265</v>
          </cell>
          <cell r="I70">
            <v>88</v>
          </cell>
          <cell r="J70">
            <v>1023.4947314379049</v>
          </cell>
          <cell r="M70">
            <v>2.3560479293804919</v>
          </cell>
          <cell r="N70">
            <v>2.3019639056377819</v>
          </cell>
          <cell r="P70">
            <v>2.2564196382710424</v>
          </cell>
          <cell r="Q70">
            <v>5.1941965632721994</v>
          </cell>
          <cell r="R70">
            <v>107.60617634318069</v>
          </cell>
        </row>
        <row r="71">
          <cell r="H71">
            <v>49.839561285804827</v>
          </cell>
          <cell r="I71">
            <v>89</v>
          </cell>
          <cell r="J71">
            <v>1030.2207316635643</v>
          </cell>
          <cell r="M71">
            <v>2.3951997224550494</v>
          </cell>
          <cell r="N71">
            <v>2.3249383834349411</v>
          </cell>
          <cell r="P71">
            <v>2.2712479305230913</v>
          </cell>
          <cell r="Q71">
            <v>5.2805114919703104</v>
          </cell>
          <cell r="R71">
            <v>109.87742427370378</v>
          </cell>
        </row>
        <row r="72">
          <cell r="H72">
            <v>50.876313908912685</v>
          </cell>
          <cell r="I72">
            <v>90</v>
          </cell>
          <cell r="J72">
            <v>1036.7526231078571</v>
          </cell>
          <cell r="M72">
            <v>2.4338124273846935</v>
          </cell>
          <cell r="N72">
            <v>2.3475343810453957</v>
          </cell>
          <cell r="P72">
            <v>2.2856482861646397</v>
          </cell>
          <cell r="Q72">
            <v>5.3656379347489764</v>
          </cell>
          <cell r="R72">
            <v>112.16307255986843</v>
          </cell>
        </row>
        <row r="73">
          <cell r="H73">
            <v>51.919404378070588</v>
          </cell>
          <cell r="I73">
            <v>91</v>
          </cell>
          <cell r="J73">
            <v>1043.0904691579055</v>
          </cell>
          <cell r="M73">
            <v>2.471867147522</v>
          </cell>
          <cell r="N73">
            <v>2.3697533633085119</v>
          </cell>
          <cell r="P73">
            <v>2.2996208449403714</v>
          </cell>
          <cell r="Q73">
            <v>5.4495342316318061</v>
          </cell>
          <cell r="R73">
            <v>114.46269340480879</v>
          </cell>
        </row>
        <row r="74">
          <cell r="H74">
            <v>52.968638810785691</v>
          </cell>
          <cell r="I74">
            <v>92</v>
          </cell>
          <cell r="J74">
            <v>1049.2344327151006</v>
          </cell>
          <cell r="M74">
            <v>2.5093464046429337</v>
          </cell>
          <cell r="N74">
            <v>2.3915974603973926</v>
          </cell>
          <cell r="P74">
            <v>2.3131659659863781</v>
          </cell>
          <cell r="Q74">
            <v>5.532161849730703</v>
          </cell>
          <cell r="R74">
            <v>116.77585937079517</v>
          </cell>
        </row>
        <row r="75">
          <cell r="H75">
            <v>54.023823584920798</v>
          </cell>
          <cell r="I75">
            <v>93</v>
          </cell>
          <cell r="J75">
            <v>1055.1847741351091</v>
          </cell>
          <cell r="M75">
            <v>2.546234135282524</v>
          </cell>
          <cell r="N75">
            <v>2.4130694430930983</v>
          </cell>
          <cell r="P75">
            <v>2.3262842232886527</v>
          </cell>
          <cell r="Q75">
            <v>5.6134853751674081</v>
          </cell>
          <cell r="R75">
            <v>119.10214359408381</v>
          </cell>
        </row>
        <row r="76">
          <cell r="H76">
            <v>55.084765434041167</v>
          </cell>
          <cell r="I76">
            <v>94</v>
          </cell>
          <cell r="J76">
            <v>1060.9418491203651</v>
          </cell>
          <cell r="M76">
            <v>2.5825156824449129</v>
          </cell>
          <cell r="N76">
            <v>2.4341726971992821</v>
          </cell>
          <cell r="P76">
            <v>2.3389764010368275</v>
          </cell>
          <cell r="Q76">
            <v>5.6934724947972848</v>
          </cell>
          <cell r="R76">
            <v>121.44111999512066</v>
          </cell>
        </row>
        <row r="77">
          <cell r="H77">
            <v>56.151271540610004</v>
          </cell>
          <cell r="I77">
            <v>95</v>
          </cell>
          <cell r="J77">
            <v>1066.506106568839</v>
          </cell>
          <cell r="M77">
            <v>2.6181777829155242</v>
          </cell>
          <cell r="N77">
            <v>2.454911197216413</v>
          </cell>
          <cell r="P77">
            <v>2.3512434888815235</v>
          </cell>
          <cell r="Q77">
            <v>5.7720939682374377</v>
          </cell>
          <cell r="R77">
            <v>123.79236348400218</v>
          </cell>
        </row>
        <row r="78">
          <cell r="H78">
            <v>57.223149626992452</v>
          </cell>
          <cell r="I78">
            <v>96</v>
          </cell>
          <cell r="J78">
            <v>1071.8780863824443</v>
          </cell>
          <cell r="M78">
            <v>2.653208550416438</v>
          </cell>
          <cell r="N78">
            <v>2.4752894793949336</v>
          </cell>
          <cell r="P78">
            <v>2.363086677102713</v>
          </cell>
          <cell r="Q78">
            <v>5.8493235907306769</v>
          </cell>
          <cell r="R78">
            <v>126.15545016110488</v>
          </cell>
        </row>
        <row r="79">
          <cell r="H79">
            <v>58.30020804423097</v>
          </cell>
          <cell r="I79">
            <v>97</v>
          </cell>
          <cell r="J79">
            <v>1077.0584172385186</v>
          </cell>
          <cell r="M79">
            <v>2.6875974548570789</v>
          </cell>
          <cell r="N79">
            <v>2.4953126142849689</v>
          </cell>
          <cell r="P79">
            <v>2.3745073516966753</v>
          </cell>
          <cell r="Q79">
            <v>5.9251381474011104</v>
          </cell>
          <cell r="R79">
            <v>128.52995751280159</v>
          </cell>
        </row>
        <row r="80">
          <cell r="H80">
            <v>59.382255858558715</v>
          </cell>
          <cell r="I80">
            <v>98</v>
          </cell>
          <cell r="J80">
            <v>1082.0478143277408</v>
          </cell>
          <cell r="M80">
            <v>2.7213352979412742</v>
          </cell>
          <cell r="N80">
            <v>2.5149861788982002</v>
          </cell>
          <cell r="P80">
            <v>2.3855070893889612</v>
          </cell>
          <cell r="Q80">
            <v>5.9995173594769113</v>
          </cell>
          <cell r="R80">
            <v>130.91546460219053</v>
          </cell>
        </row>
        <row r="81">
          <cell r="H81">
            <v>60.469102935620889</v>
          </cell>
          <cell r="I81">
            <v>99</v>
          </cell>
          <cell r="J81">
            <v>1086.847077062175</v>
          </cell>
          <cell r="M81">
            <v>2.7544141853985109</v>
          </cell>
          <cell r="N81">
            <v>2.5343162285938963</v>
          </cell>
          <cell r="P81">
            <v>2.3960876525814907</v>
          </cell>
          <cell r="Q81">
            <v>6.0724438230707243</v>
          </cell>
          <cell r="R81">
            <v>133.31155225477204</v>
          </cell>
        </row>
        <row r="82">
          <cell r="H82">
            <v>61.560560022377558</v>
          </cell>
          <cell r="I82">
            <v>100</v>
          </cell>
          <cell r="J82">
            <v>1091.4570867566727</v>
          </cell>
          <cell r="M82">
            <v>2.7868274961119419</v>
          </cell>
          <cell r="N82">
            <v>2.5533092687987944</v>
          </cell>
          <cell r="P82">
            <v>2.4062509842409225</v>
          </cell>
          <cell r="Q82">
            <v>6.1439029411185686</v>
          </cell>
          <cell r="R82">
            <v>135.71780323901294</v>
          </cell>
        </row>
        <row r="83">
          <cell r="H83">
            <v>62.656438826664392</v>
          </cell>
          <cell r="I83">
            <v>101</v>
          </cell>
          <cell r="J83">
            <v>1095.8788042868327</v>
          </cell>
          <cell r="M83">
            <v>2.8185698484184303</v>
          </cell>
          <cell r="N83">
            <v>2.5719722266666856</v>
          </cell>
          <cell r="P83">
            <v>2.4159992027353385</v>
          </cell>
          <cell r="Q83">
            <v>6.213882849084146</v>
          </cell>
          <cell r="R83">
            <v>138.13380244174829</v>
          </cell>
        </row>
        <row r="84">
          <cell r="H84">
            <v>63.756552094392042</v>
          </cell>
          <cell r="I84">
            <v>102</v>
          </cell>
          <cell r="J84">
            <v>1100.113267727651</v>
          </cell>
          <cell r="M84">
            <v>2.8496370638567385</v>
          </cell>
          <cell r="N84">
            <v>2.590312422777004</v>
          </cell>
          <cell r="P84">
            <v>2.4253345966283582</v>
          </cell>
          <cell r="Q84">
            <v>6.2823743350372903</v>
          </cell>
          <cell r="R84">
            <v>140.55913703837663</v>
          </cell>
        </row>
        <row r="85">
          <cell r="H85">
            <v>64.860713684367099</v>
          </cell>
          <cell r="I85">
            <v>103</v>
          </cell>
          <cell r="J85">
            <v>1104.1615899750511</v>
          </cell>
          <cell r="M85">
            <v>2.880026128639086</v>
          </cell>
          <cell r="N85">
            <v>2.608337542971551</v>
          </cell>
          <cell r="P85">
            <v>2.4342596194355099</v>
          </cell>
          <cell r="Q85">
            <v>6.3493707547132816</v>
          </cell>
          <cell r="R85">
            <v>142.99339665781216</v>
          </cell>
        </row>
        <row r="86">
          <cell r="H86">
            <v>65.968738640721526</v>
          </cell>
          <cell r="I86">
            <v>104</v>
          </cell>
          <cell r="J86">
            <v>1108.0249563544314</v>
          </cell>
          <cell r="M86">
            <v>2.9097351531185618</v>
          </cell>
          <cell r="N86">
            <v>2.6260556104187649</v>
          </cell>
          <cell r="P86">
            <v>2.4427768843519817</v>
          </cell>
          <cell r="Q86">
            <v>6.4148679421537924</v>
          </cell>
          <cell r="R86">
            <v>145.43617354216411</v>
          </cell>
        </row>
        <row r="87">
          <cell r="H87">
            <v>67.080443262940634</v>
          </cell>
          <cell r="I87">
            <v>105</v>
          </cell>
          <cell r="J87">
            <v>1111.7046222191107</v>
          </cell>
          <cell r="M87">
            <v>2.9387633295208091</v>
          </cell>
          <cell r="N87">
            <v>2.6434749579925696</v>
          </cell>
          <cell r="P87">
            <v>2.4508891589580983</v>
          </cell>
          <cell r="Q87">
            <v>6.478864116521204</v>
          </cell>
          <cell r="R87">
            <v>147.88706270112223</v>
          </cell>
        </row>
        <row r="88">
          <cell r="H88">
            <v>68.195645173482447</v>
          </cell>
          <cell r="I88">
            <v>106</v>
          </cell>
          <cell r="J88">
            <v>1115.2019105418171</v>
          </cell>
          <cell r="M88">
            <v>2.9671108882026536</v>
          </cell>
          <cell r="N88">
            <v>2.6606042010465107</v>
          </cell>
          <cell r="P88">
            <v>2.4585993599094649</v>
          </cell>
          <cell r="Q88">
            <v>6.5413597856653833</v>
          </cell>
          <cell r="R88">
            <v>150.34566206103167</v>
          </cell>
        </row>
        <row r="89">
          <cell r="H89">
            <v>69.314163382984603</v>
          </cell>
          <cell r="I89">
            <v>107</v>
          </cell>
          <cell r="J89">
            <v>1118.5182095021596</v>
          </cell>
          <cell r="M89">
            <v>2.9947790526935441</v>
          </cell>
          <cell r="N89">
            <v>2.6774522106586787</v>
          </cell>
          <cell r="P89">
            <v>2.4659105476182495</v>
          </cell>
          <cell r="Q89">
            <v>6.6023576470070333</v>
          </cell>
          <cell r="R89">
            <v>152.81157260864993</v>
          </cell>
        </row>
        <row r="90">
          <cell r="H90">
            <v>70.435818353058067</v>
          </cell>
          <cell r="I90">
            <v>108</v>
          </cell>
          <cell r="J90">
            <v>1121.6549700734711</v>
          </cell>
          <cell r="M90">
            <v>3.0217699937674318</v>
          </cell>
          <cell r="N90">
            <v>2.6940280874157754</v>
          </cell>
          <cell r="P90">
            <v>2.4728259209330861</v>
          </cell>
          <cell r="Q90">
            <v>6.6618624862835141</v>
          </cell>
          <cell r="R90">
            <v>155.284398529583</v>
          </cell>
        </row>
        <row r="91">
          <cell r="H91">
            <v>71.560432056669441</v>
          </cell>
          <cell r="I91">
            <v>109</v>
          </cell>
          <cell r="J91">
            <v>1124.6137036113762</v>
          </cell>
          <cell r="M91">
            <v>3.0480867827836811</v>
          </cell>
          <cell r="N91">
            <v>2.7103411358012264</v>
          </cell>
          <cell r="P91">
            <v>2.4793488118227742</v>
          </cell>
          <cell r="Q91">
            <v>6.7198810746831583</v>
          </cell>
          <cell r="R91">
            <v>157.76374734140578</v>
          </cell>
        </row>
        <row r="92">
          <cell r="H92">
            <v>72.687828036116997</v>
          </cell>
          <cell r="I92">
            <v>110</v>
          </cell>
          <cell r="J92">
            <v>1127.3959794475604</v>
          </cell>
          <cell r="M92">
            <v>3.0737333445255355</v>
          </cell>
          <cell r="N92">
            <v>2.726400839243464</v>
          </cell>
          <cell r="P92">
            <v>2.4854826800714491</v>
          </cell>
          <cell r="Q92">
            <v>6.776422064871892</v>
          </cell>
          <cell r="R92">
            <v>160.24923002147719</v>
          </cell>
        </row>
        <row r="93">
          <cell r="H93">
            <v>73.817831458607799</v>
          </cell>
          <cell r="I93">
            <v>111</v>
          </cell>
          <cell r="J93">
            <v>1130.0034224907995</v>
          </cell>
          <cell r="M93">
            <v>3.0987144097537724</v>
          </cell>
          <cell r="N93">
            <v>2.742216835877771</v>
          </cell>
          <cell r="P93">
            <v>2.4912311079897562</v>
          </cell>
          <cell r="Q93">
            <v>6.8314958863919433</v>
          </cell>
          <cell r="R93">
            <v>162.74046112946698</v>
          </cell>
        </row>
        <row r="94">
          <cell r="H94">
            <v>74.950269169446372</v>
          </cell>
          <cell r="I94">
            <v>112</v>
          </cell>
          <cell r="J94">
            <v>1132.4377108385704</v>
          </cell>
          <cell r="M94">
            <v>3.1230354676818282</v>
          </cell>
          <cell r="N94">
            <v>2.7577988950661307</v>
          </cell>
          <cell r="P94">
            <v>2.4965977951493548</v>
          </cell>
          <cell r="Q94">
            <v>6.8851146408874291</v>
          </cell>
          <cell r="R94">
            <v>165.23705892461632</v>
          </cell>
        </row>
        <row r="95">
          <cell r="H95">
            <v>76.084969742847761</v>
          </cell>
          <cell r="I95">
            <v>113</v>
          </cell>
          <cell r="J95">
            <v>1134.7005734013926</v>
          </cell>
          <cell r="M95">
            <v>3.1467027185665883</v>
          </cell>
          <cell r="N95">
            <v>2.7731568947162804</v>
          </cell>
          <cell r="P95">
            <v>2.5015865531454873</v>
          </cell>
          <cell r="Q95">
            <v>6.9372919975849427</v>
          </cell>
          <cell r="R95">
            <v>167.73864547776179</v>
          </cell>
        </row>
        <row r="96">
          <cell r="H96">
            <v>77.221763530389765</v>
          </cell>
          <cell r="I96">
            <v>114</v>
          </cell>
          <cell r="J96">
            <v>1136.7937875420041</v>
          </cell>
          <cell r="M96">
            <v>3.1697230265967589</v>
          </cell>
          <cell r="N96">
            <v>2.7883007994355693</v>
          </cell>
          <cell r="P96">
            <v>2.5062013003922532</v>
          </cell>
          <cell r="Q96">
            <v>6.9880430894301835</v>
          </cell>
          <cell r="R96">
            <v>170.24484677815406</v>
          </cell>
        </row>
        <row r="97">
          <cell r="H97">
            <v>78.360482707123239</v>
          </cell>
          <cell r="I97">
            <v>115</v>
          </cell>
          <cell r="J97">
            <v>1138.7191767334762</v>
          </cell>
          <cell r="M97">
            <v>3.1921038732479685</v>
          </cell>
          <cell r="N97">
            <v>2.8032406395445286</v>
          </cell>
          <cell r="P97">
            <v>2.5104460569596356</v>
          </cell>
          <cell r="Q97">
            <v>7.0373844102535692</v>
          </cell>
          <cell r="R97">
            <v>172.75529283511366</v>
          </cell>
        </row>
        <row r="98">
          <cell r="H98">
            <v>79.500961315358879</v>
          </cell>
          <cell r="I98">
            <v>116</v>
          </cell>
          <cell r="J98">
            <v>1140.4786082356436</v>
          </cell>
          <cell r="M98">
            <v>3.2138533112610368</v>
          </cell>
          <cell r="N98">
            <v>2.8179864909811587</v>
          </cell>
          <cell r="P98">
            <v>2.5143249394509075</v>
          </cell>
          <cell r="Q98">
            <v>7.0853337133096765</v>
          </cell>
          <cell r="R98">
            <v>175.26961777456461</v>
          </cell>
        </row>
        <row r="99">
          <cell r="H99">
            <v>80.643035306153848</v>
          </cell>
          <cell r="I99">
            <v>117</v>
          </cell>
          <cell r="J99">
            <v>1142.0739907949705</v>
          </cell>
          <cell r="M99">
            <v>3.2349799193868627</v>
          </cell>
          <cell r="N99">
            <v>2.8325484561075331</v>
          </cell>
          <cell r="P99">
            <v>2.5178421559317026</v>
          </cell>
          <cell r="Q99">
            <v>7.1319099115068063</v>
          </cell>
          <cell r="R99">
            <v>177.78745993049628</v>
          </cell>
        </row>
        <row r="100">
          <cell r="H100">
            <v>81.786542578521747</v>
          </cell>
          <cell r="I100">
            <v>118</v>
          </cell>
          <cell r="J100">
            <v>1143.5072723678963</v>
          </cell>
          <cell r="M100">
            <v>3.2554927580285233</v>
          </cell>
          <cell r="N100">
            <v>2.8469366454375691</v>
          </cell>
          <cell r="P100">
            <v>2.5210020009108538</v>
          </cell>
          <cell r="Q100">
            <v>7.1771329796145453</v>
          </cell>
          <cell r="R100">
            <v>180.30846193140715</v>
          </cell>
        </row>
        <row r="101">
          <cell r="H101">
            <v>82.931323016392525</v>
          </cell>
          <cell r="I101">
            <v>119</v>
          </cell>
          <cell r="J101">
            <v>1144.7804378707719</v>
          </cell>
          <cell r="M101">
            <v>3.2754013258985055</v>
          </cell>
          <cell r="N101">
            <v>2.86116116029251</v>
          </cell>
          <cell r="P101">
            <v>2.5238088503798508</v>
          </cell>
          <cell r="Q101">
            <v>7.2210238587093194</v>
          </cell>
          <cell r="R101">
            <v>182.832270781787</v>
          </cell>
        </row>
        <row r="102">
          <cell r="H102">
            <v>84.077218523350041</v>
          </cell>
          <cell r="I102">
            <v>120</v>
          </cell>
          <cell r="J102">
            <v>1145.89550695752</v>
          </cell>
          <cell r="M102">
            <v>3.2947155177962824</v>
          </cell>
          <cell r="N102">
            <v>2.8752320763907337</v>
          </cell>
          <cell r="P102">
            <v>2.5262671569134199</v>
          </cell>
          <cell r="Q102">
            <v>7.263604363089887</v>
          </cell>
          <cell r="R102">
            <v>185.35853793870041</v>
          </cell>
        </row>
        <row r="103">
          <cell r="H103">
            <v>85.224073055177485</v>
          </cell>
          <cell r="I103">
            <v>121</v>
          </cell>
          <cell r="J103">
            <v>1146.8545318274371</v>
          </cell>
          <cell r="M103">
            <v>3.3134455835993095</v>
          </cell>
          <cell r="N103">
            <v>2.8891594283710531</v>
          </cell>
          <cell r="P103">
            <v>2.5283814448365547</v>
          </cell>
          <cell r="Q103">
            <v>7.3048970898679562</v>
          </cell>
          <cell r="R103">
            <v>187.88691938353699</v>
          </cell>
        </row>
        <row r="104">
          <cell r="H104">
            <v>86.371732650241555</v>
          </cell>
          <cell r="I104">
            <v>122</v>
          </cell>
          <cell r="J104">
            <v>1147.6595950640633</v>
          </cell>
          <cell r="M104">
            <v>3.3316020885484368</v>
          </cell>
          <cell r="N104">
            <v>2.902953195248164</v>
          </cell>
          <cell r="P104">
            <v>2.5301563054600393</v>
          </cell>
          <cell r="Q104">
            <v>7.3449253314125116</v>
          </cell>
          <cell r="R104">
            <v>190.41707568899704</v>
          </cell>
        </row>
        <row r="105">
          <cell r="H105">
            <v>87.52004545774922</v>
          </cell>
          <cell r="I105">
            <v>123</v>
          </cell>
          <cell r="J105">
            <v>1148.3128075076688</v>
          </cell>
          <cell r="M105">
            <v>3.349195874897247</v>
          </cell>
          <cell r="N105">
            <v>2.9166232867910256</v>
          </cell>
          <cell r="P105">
            <v>2.5315963923900853</v>
          </cell>
          <cell r="Q105">
            <v>7.3837129908010732</v>
          </cell>
          <cell r="R105">
            <v>192.94867208138712</v>
          </cell>
        </row>
        <row r="106">
          <cell r="H106">
            <v>88.668861763910883</v>
          </cell>
          <cell r="I106">
            <v>124</v>
          </cell>
          <cell r="J106">
            <v>1148.8163061616572</v>
          </cell>
          <cell r="M106">
            <v>3.3662380249836232</v>
          </cell>
          <cell r="N106">
            <v>2.9301795308169472</v>
          </cell>
          <cell r="P106">
            <v>2.5327064169127387</v>
          </cell>
          <cell r="Q106">
            <v>7.4212845004064407</v>
          </cell>
          <cell r="R106">
            <v>195.48137849829988</v>
          </cell>
        </row>
        <row r="107">
          <cell r="H107">
            <v>89.818034016046113</v>
          </cell>
          <cell r="I107">
            <v>125</v>
          </cell>
          <cell r="J107">
            <v>1149.1722521352349</v>
          </cell>
          <cell r="M107">
            <v>3.382739825771274</v>
          </cell>
          <cell r="N107">
            <v>2.9436316613857745</v>
          </cell>
          <cell r="P107">
            <v>2.5334911434582441</v>
          </cell>
          <cell r="Q107">
            <v>7.4576647437241368</v>
          </cell>
          <cell r="R107">
            <v>198.01486964175811</v>
          </cell>
        </row>
        <row r="108">
          <cell r="H108">
            <v>90.967416844669373</v>
          </cell>
          <cell r="I108">
            <v>126</v>
          </cell>
          <cell r="J108">
            <v>1149.3828286232572</v>
          </cell>
          <cell r="M108">
            <v>3.3987127348987345</v>
          </cell>
          <cell r="N108">
            <v>2.9569893078790361</v>
          </cell>
          <cell r="P108">
            <v>2.5339553851473675</v>
          </cell>
          <cell r="Q108">
            <v>7.4928789805232707</v>
          </cell>
          <cell r="R108">
            <v>200.54882502690546</v>
          </cell>
        </row>
        <row r="109">
          <cell r="H109">
            <v>92.116867083593206</v>
          </cell>
          <cell r="I109">
            <v>127</v>
          </cell>
          <cell r="J109">
            <v>1149.4502389238269</v>
          </cell>
          <cell r="M109">
            <v>3.4141683482638245</v>
          </cell>
          <cell r="N109">
            <v>2.9702619849471179</v>
          </cell>
          <cell r="P109">
            <v>2.5341039994209487</v>
          </cell>
          <cell r="Q109">
            <v>7.5269527753824965</v>
          </cell>
          <cell r="R109">
            <v>203.08292902632644</v>
          </cell>
        </row>
        <row r="110">
          <cell r="H110">
            <v>93.266243788089383</v>
          </cell>
          <cell r="I110">
            <v>128</v>
          </cell>
          <cell r="J110">
            <v>1149.376704496171</v>
          </cell>
          <cell r="M110">
            <v>3.4291183691624569</v>
          </cell>
          <cell r="N110">
            <v>2.9834590832999441</v>
          </cell>
          <cell r="P110">
            <v>2.5339418837582541</v>
          </cell>
          <cell r="Q110">
            <v>7.559911929652734</v>
          </cell>
          <cell r="R110">
            <v>205.61687091008471</v>
          </cell>
        </row>
        <row r="111">
          <cell r="H111">
            <v>94.415408251147269</v>
          </cell>
          <cell r="I111">
            <v>129</v>
          </cell>
          <cell r="J111">
            <v>1149.164463057886</v>
          </cell>
          <cell r="M111">
            <v>3.4435745789922905</v>
          </cell>
          <cell r="N111">
            <v>2.9965898613232964</v>
          </cell>
          <cell r="P111">
            <v>2.5334739714821173</v>
          </cell>
          <cell r="Q111">
            <v>7.5917824168697772</v>
          </cell>
          <cell r="R111">
            <v>208.15034488156684</v>
          </cell>
        </row>
        <row r="112">
          <cell r="H112">
            <v>95.564224017871567</v>
          </cell>
          <cell r="I112">
            <v>130</v>
          </cell>
          <cell r="J112">
            <v>1148.8157667242904</v>
          </cell>
          <cell r="M112">
            <v>3.4575488095237912</v>
          </cell>
          <cell r="N112">
            <v>3.0096634374914388</v>
          </cell>
          <cell r="P112">
            <v>2.5327052276569164</v>
          </cell>
          <cell r="Q112">
            <v>7.6225903216224538</v>
          </cell>
          <cell r="R112">
            <v>210.68305010922376</v>
          </cell>
        </row>
        <row r="113">
          <cell r="H113">
            <v>96.712556898060484</v>
          </cell>
          <cell r="I113">
            <v>131</v>
          </cell>
          <cell r="J113">
            <v>1148.3328801889193</v>
          </cell>
          <cell r="M113">
            <v>3.471052916734052</v>
          </cell>
          <cell r="N113">
            <v>3.0226887835546501</v>
          </cell>
          <cell r="P113">
            <v>2.5316406450772511</v>
          </cell>
          <cell r="Q113">
            <v>7.6523617818660661</v>
          </cell>
          <cell r="R113">
            <v>213.21469075430099</v>
          </cell>
        </row>
        <row r="114">
          <cell r="H114">
            <v>97.860274977008217</v>
          </cell>
          <cell r="I114">
            <v>132</v>
          </cell>
          <cell r="J114">
            <v>1147.71807894774</v>
          </cell>
          <cell r="M114">
            <v>3.4840987561919694</v>
          </cell>
          <cell r="N114">
            <v>3.0356747184694424</v>
          </cell>
          <cell r="P114">
            <v>2.5302852403530065</v>
          </cell>
          <cell r="Q114">
            <v>7.6811229346559982</v>
          </cell>
          <cell r="R114">
            <v>215.744975994654</v>
          </cell>
        </row>
        <row r="115">
          <cell r="H115">
            <v>99.007248624573791</v>
          </cell>
          <cell r="I115">
            <v>133</v>
          </cell>
          <cell r="J115">
            <v>1146.9736475655714</v>
          </cell>
          <cell r="M115">
            <v>3.4966981599773082</v>
          </cell>
          <cell r="N115">
            <v>3.048629903048758</v>
          </cell>
          <cell r="P115">
            <v>2.5286440500874634</v>
          </cell>
          <cell r="Q115">
            <v>7.7088998652629632</v>
          </cell>
          <cell r="R115">
            <v>218.27362004474145</v>
          </cell>
        </row>
        <row r="116">
          <cell r="H116">
            <v>100.15335050256107</v>
          </cell>
          <cell r="I116">
            <v>134</v>
          </cell>
          <cell r="J116">
            <v>1146.101877987277</v>
          </cell>
          <cell r="M116">
            <v>3.5088629151106394</v>
          </cell>
          <cell r="N116">
            <v>3.061562835297607</v>
          </cell>
          <cell r="P116">
            <v>2.5267221271541165</v>
          </cell>
          <cell r="Q116">
            <v>7.7357185596191558</v>
          </cell>
          <cell r="R116">
            <v>220.80034217189558</v>
          </cell>
        </row>
        <row r="117">
          <cell r="H117">
            <v>101.29845557045405</v>
          </cell>
          <cell r="I117">
            <v>135</v>
          </cell>
          <cell r="J117">
            <v>1145.1050678929789</v>
          </cell>
          <cell r="M117">
            <v>3.5206047434661989</v>
          </cell>
          <cell r="N117">
            <v>3.0744818464075068</v>
          </cell>
          <cell r="P117">
            <v>2.5245245370705396</v>
          </cell>
          <cell r="Q117">
            <v>7.761604860033688</v>
          </cell>
          <cell r="R117">
            <v>223.32486670896614</v>
          </cell>
        </row>
        <row r="118">
          <cell r="H118">
            <v>102.44244108955142</v>
          </cell>
          <cell r="I118">
            <v>136</v>
          </cell>
          <cell r="J118">
            <v>1143.985519097371</v>
          </cell>
          <cell r="M118">
            <v>3.531935283135212</v>
          </cell>
          <cell r="N118">
            <v>3.0873950973802398</v>
          </cell>
          <cell r="P118">
            <v>2.5220563544694787</v>
          </cell>
          <cell r="Q118">
            <v>7.7865844241057491</v>
          </cell>
          <cell r="R118">
            <v>225.84692306343561</v>
          </cell>
        </row>
        <row r="119">
          <cell r="H119">
            <v>103.58518662554634</v>
          </cell>
          <cell r="I119">
            <v>137</v>
          </cell>
          <cell r="J119">
            <v>1142.7455359949163</v>
          </cell>
          <cell r="M119">
            <v>3.5428660712034272</v>
          </cell>
          <cell r="N119">
            <v>3.1003105762464238</v>
          </cell>
          <cell r="P119">
            <v>2.5193226596710967</v>
          </cell>
          <cell r="Q119">
            <v>7.8106826867555714</v>
          </cell>
          <cell r="R119">
            <v>228.36624572310672</v>
          </cell>
        </row>
        <row r="120">
          <cell r="H120">
            <v>104.72657404959587</v>
          </cell>
          <cell r="I120">
            <v>138</v>
          </cell>
          <cell r="J120">
            <v>1141.3874240495209</v>
          </cell>
          <cell r="M120">
            <v>3.5534085279031666</v>
          </cell>
          <cell r="N120">
            <v>3.1132360958525833</v>
          </cell>
          <cell r="P120">
            <v>2.5163285353532752</v>
          </cell>
          <cell r="Q120">
            <v>7.8339248252856777</v>
          </cell>
          <cell r="R120">
            <v>230.88257425846001</v>
          </cell>
        </row>
        <row r="121">
          <cell r="H121">
            <v>105.86648753792561</v>
          </cell>
          <cell r="I121">
            <v>139</v>
          </cell>
          <cell r="J121">
            <v>1139.9134883297329</v>
          </cell>
          <cell r="M121">
            <v>3.5635739420972858</v>
          </cell>
          <cell r="N121">
            <v>3.1261792921836906</v>
          </cell>
          <cell r="P121">
            <v>2.5130790633222797</v>
          </cell>
          <cell r="Q121">
            <v>7.8563357273784948</v>
          </cell>
          <cell r="R121">
            <v>233.39565332178231</v>
          </cell>
        </row>
        <row r="122">
          <cell r="H122">
            <v>107.00481357001502</v>
          </cell>
          <cell r="I122">
            <v>140</v>
          </cell>
          <cell r="J122">
            <v>1138.3260320894028</v>
          </cell>
          <cell r="M122">
            <v>3.5733734580500092</v>
          </cell>
          <cell r="N122">
            <v>3.1391476231911035</v>
          </cell>
          <cell r="P122">
            <v>2.509579321383653</v>
          </cell>
          <cell r="Q122">
            <v>7.8779399619310366</v>
          </cell>
          <cell r="R122">
            <v>235.90523264316596</v>
          </cell>
        </row>
        <row r="123">
          <cell r="H123">
            <v>108.14144092540845</v>
          </cell>
          <cell r="I123">
            <v>141</v>
          </cell>
          <cell r="J123">
            <v>1136.6273553934293</v>
          </cell>
          <cell r="M123">
            <v>3.5828180634375948</v>
          </cell>
          <cell r="N123">
            <v>3.152148368096813</v>
          </cell>
          <cell r="P123">
            <v>2.5058343803125025</v>
          </cell>
          <cell r="Q123">
            <v>7.8987617526229439</v>
          </cell>
          <cell r="R123">
            <v>238.41106702347847</v>
          </cell>
        </row>
        <row r="124">
          <cell r="H124">
            <v>109.27626067919756</v>
          </cell>
          <cell r="I124">
            <v>142</v>
          </cell>
          <cell r="J124">
            <v>1134.8197537891112</v>
          </cell>
          <cell r="M124">
            <v>3.5919185785501977</v>
          </cell>
          <cell r="N124">
            <v>3.1651886271427214</v>
          </cell>
          <cell r="P124">
            <v>2.5018493009243326</v>
          </cell>
          <cell r="Q124">
            <v>7.918824954110665</v>
          </cell>
          <cell r="R124">
            <v>240.91291632440283</v>
          </cell>
        </row>
        <row r="125">
          <cell r="H125">
            <v>110.40916619622007</v>
          </cell>
          <cell r="I125">
            <v>143</v>
          </cell>
          <cell r="J125">
            <v>1132.905517022504</v>
          </cell>
          <cell r="M125">
            <v>3.6006856466350348</v>
          </cell>
          <cell r="N125">
            <v>3.1782753217570487</v>
          </cell>
          <cell r="P125">
            <v>2.4976291312450956</v>
          </cell>
          <cell r="Q125">
            <v>7.9381530307377854</v>
          </cell>
          <cell r="R125">
            <v>243.41054545564791</v>
          </cell>
        </row>
        <row r="126">
          <cell r="H126">
            <v>111.54005312402005</v>
          </cell>
          <cell r="I126">
            <v>144</v>
          </cell>
          <cell r="J126">
            <v>1130.8869277999738</v>
          </cell>
          <cell r="M126">
            <v>3.6091297253301331</v>
          </cell>
          <cell r="N126">
            <v>3.191415195108259</v>
          </cell>
          <cell r="P126">
            <v>2.4931789037808856</v>
          </cell>
          <cell r="Q126">
            <v>7.9567690376496705</v>
          </cell>
          <cell r="R126">
            <v>245.90372435942882</v>
          </cell>
        </row>
        <row r="127">
          <cell r="H127">
            <v>112.66881938461427</v>
          </cell>
          <cell r="I127">
            <v>145</v>
          </cell>
          <cell r="J127">
            <v>1128.7662605942121</v>
          </cell>
          <cell r="M127">
            <v>3.6172610791374269</v>
          </cell>
          <cell r="N127">
            <v>3.2046148130200187</v>
          </cell>
          <cell r="P127">
            <v>2.4885036328856502</v>
          </cell>
          <cell r="Q127">
            <v>7.9746956041994856</v>
          </cell>
          <cell r="R127">
            <v>248.39222799231447</v>
          </cell>
        </row>
        <row r="128">
          <cell r="H128">
            <v>113.79536516510929</v>
          </cell>
          <cell r="I128">
            <v>146</v>
          </cell>
          <cell r="J128">
            <v>1126.5457804950208</v>
          </cell>
          <cell r="M128">
            <v>3.6250897728836651</v>
          </cell>
          <cell r="N128">
            <v>3.2178805652183504</v>
          </cell>
          <cell r="P128">
            <v>2.483608312227608</v>
          </cell>
          <cell r="Q128">
            <v>7.9919549195319686</v>
          </cell>
          <cell r="R128">
            <v>250.87583630454208</v>
          </cell>
        </row>
        <row r="129">
          <cell r="H129">
            <v>114.91959290721334</v>
          </cell>
          <cell r="I129">
            <v>147</v>
          </cell>
          <cell r="J129">
            <v>1124.2277421040578</v>
          </cell>
          <cell r="M129">
            <v>3.6326256661177254</v>
          </cell>
          <cell r="N129">
            <v>3.2312186668859946</v>
          </cell>
          <cell r="P129">
            <v>2.4784979123525774</v>
          </cell>
          <cell r="Q129">
            <v>8.0085687202316151</v>
          </cell>
          <cell r="R129">
            <v>253.35433421689461</v>
          </cell>
        </row>
        <row r="130">
          <cell r="H130">
            <v>116.04140729568708</v>
          </cell>
          <cell r="I130">
            <v>148</v>
          </cell>
          <cell r="J130">
            <v>1121.8143884737431</v>
          </cell>
          <cell r="M130">
            <v>3.6398784083931632</v>
          </cell>
          <cell r="N130">
            <v>3.244635160496836</v>
          </cell>
          <cell r="P130">
            <v>2.4731773783446647</v>
          </cell>
          <cell r="Q130">
            <v>8.0245582799224842</v>
          </cell>
          <cell r="R130">
            <v>255.82751159523932</v>
          </cell>
        </row>
        <row r="131">
          <cell r="H131">
            <v>117.16071524577572</v>
          </cell>
          <cell r="I131">
            <v>149</v>
          </cell>
          <cell r="J131">
            <v>1119.3079500886363</v>
          </cell>
          <cell r="M131">
            <v>3.6468574353854026</v>
          </cell>
          <cell r="N131">
            <v>3.2581359179094669</v>
          </cell>
          <cell r="P131">
            <v>2.467651627580588</v>
          </cell>
          <cell r="Q131">
            <v>8.0399444007080696</v>
          </cell>
          <cell r="R131">
            <v>258.29516322281995</v>
          </cell>
        </row>
        <row r="132">
          <cell r="H132">
            <v>118.27742588966635</v>
          </cell>
          <cell r="I132">
            <v>150</v>
          </cell>
          <cell r="J132">
            <v>1116.7106438906299</v>
          </cell>
          <cell r="M132">
            <v>3.653571965793629</v>
          </cell>
          <cell r="N132">
            <v>3.2717266426910308</v>
          </cell>
          <cell r="P132">
            <v>2.461925547580595</v>
          </cell>
          <cell r="Q132">
            <v>8.0547474063411357</v>
          </cell>
          <cell r="R132">
            <v>260.75708877040051</v>
          </cell>
        </row>
        <row r="133">
          <cell r="H133">
            <v>119.39145056201224</v>
          </cell>
          <cell r="I133">
            <v>151</v>
          </cell>
          <cell r="J133">
            <v>1114.0246723458931</v>
          </cell>
          <cell r="M133">
            <v>3.6600309989784612</v>
          </cell>
          <cell r="N133">
            <v>3.2854128726532008</v>
          </cell>
          <cell r="P133">
            <v>2.4560039939514264</v>
          </cell>
          <cell r="Q133">
            <v>8.0689871370156876</v>
          </cell>
          <cell r="R133">
            <v>263.21309276435187</v>
          </cell>
        </row>
        <row r="134">
          <cell r="H134">
            <v>120.50270278456624</v>
          </cell>
          <cell r="I134">
            <v>152</v>
          </cell>
          <cell r="J134">
            <v>1111.2522225540033</v>
          </cell>
          <cell r="M134">
            <v>3.6662433132874188</v>
          </cell>
          <cell r="N134">
            <v>3.2991999825757388</v>
          </cell>
          <cell r="P134">
            <v>2.4498917884222862</v>
          </cell>
          <cell r="Q134">
            <v>8.082682945675252</v>
          </cell>
          <cell r="R134">
            <v>265.66298455277422</v>
          </cell>
        </row>
        <row r="135">
          <cell r="H135">
            <v>121.6110982499637</v>
          </cell>
          <cell r="I135">
            <v>153</v>
          </cell>
          <cell r="J135">
            <v>1108.3954653974647</v>
          </cell>
          <cell r="M135">
            <v>3.6722174650215322</v>
          </cell>
          <cell r="N135">
            <v>3.3130931871005935</v>
          </cell>
          <cell r="P135">
            <v>2.4435937169698527</v>
          </cell>
          <cell r="Q135">
            <v>8.0958536957346343</v>
          </cell>
          <cell r="R135">
            <v>268.10657826974403</v>
          </cell>
        </row>
        <row r="136">
          <cell r="H136">
            <v>122.71655480469713</v>
          </cell>
          <cell r="I136">
            <v>154</v>
          </cell>
          <cell r="J136">
            <v>1105.4565547334289</v>
          </cell>
          <cell r="M136">
            <v>3.6779617879976336</v>
          </cell>
          <cell r="N136">
            <v>3.327097543769634</v>
          </cell>
          <cell r="P136">
            <v>2.4371145280363269</v>
          </cell>
          <cell r="Q136">
            <v>8.108517760114955</v>
          </cell>
          <cell r="R136">
            <v>270.54369279778035</v>
          </cell>
        </row>
        <row r="137">
          <cell r="H137">
            <v>123.81899243132042</v>
          </cell>
          <cell r="I137">
            <v>155</v>
          </cell>
          <cell r="J137">
            <v>1102.4376266232978</v>
          </cell>
          <cell r="M137">
            <v>3.6834843936624102</v>
          </cell>
          <cell r="N137">
            <v>3.3412179561983093</v>
          </cell>
          <cell r="P137">
            <v>2.4304589308309965</v>
          </cell>
          <cell r="Q137">
            <v>8.1206930214950717</v>
          </cell>
          <cell r="R137">
            <v>272.97415172861133</v>
          </cell>
        </row>
        <row r="138">
          <cell r="H138" t="str">
            <v xml:space="preserve"> </v>
          </cell>
          <cell r="I138" t="str">
            <v xml:space="preserve"> </v>
          </cell>
          <cell r="J138" t="str">
            <v xml:space="preserve"> </v>
          </cell>
          <cell r="M138" t="str">
            <v xml:space="preserve"> </v>
          </cell>
          <cell r="N138" t="str">
            <v xml:space="preserve"> </v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H139" t="str">
            <v xml:space="preserve"> </v>
          </cell>
          <cell r="I139" t="str">
            <v xml:space="preserve"> </v>
          </cell>
          <cell r="J139" t="str">
            <v xml:space="preserve"> </v>
          </cell>
          <cell r="M139" t="str">
            <v xml:space="preserve"> </v>
          </cell>
          <cell r="N139" t="str">
            <v xml:space="preserve"> </v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H140" t="str">
            <v xml:space="preserve"> </v>
          </cell>
          <cell r="I140" t="str">
            <v xml:space="preserve"> </v>
          </cell>
          <cell r="J140" t="str">
            <v xml:space="preserve"> </v>
          </cell>
          <cell r="M140" t="str">
            <v xml:space="preserve"> </v>
          </cell>
          <cell r="N140" t="str">
            <v xml:space="preserve"> </v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H141" t="str">
            <v xml:space="preserve"> </v>
          </cell>
          <cell r="I141" t="str">
            <v xml:space="preserve"> </v>
          </cell>
          <cell r="J141" t="str">
            <v xml:space="preserve"> </v>
          </cell>
          <cell r="M141" t="str">
            <v xml:space="preserve"> </v>
          </cell>
          <cell r="N141" t="str">
            <v xml:space="preserve"> </v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H142" t="str">
            <v xml:space="preserve"> </v>
          </cell>
          <cell r="I142" t="str">
            <v xml:space="preserve"> </v>
          </cell>
          <cell r="J142" t="str">
            <v xml:space="preserve"> </v>
          </cell>
          <cell r="M142" t="str">
            <v xml:space="preserve"> </v>
          </cell>
          <cell r="N142" t="str">
            <v xml:space="preserve"> </v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H143" t="str">
            <v xml:space="preserve"> </v>
          </cell>
          <cell r="I143" t="str">
            <v xml:space="preserve"> </v>
          </cell>
          <cell r="J143" t="str">
            <v xml:space="preserve"> </v>
          </cell>
          <cell r="M143" t="str">
            <v xml:space="preserve"> </v>
          </cell>
          <cell r="N143" t="str">
            <v xml:space="preserve"> </v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H144" t="str">
            <v xml:space="preserve"> </v>
          </cell>
          <cell r="I144" t="str">
            <v xml:space="preserve"> </v>
          </cell>
          <cell r="J144" t="str">
            <v xml:space="preserve"> </v>
          </cell>
          <cell r="M144" t="str">
            <v xml:space="preserve"> </v>
          </cell>
          <cell r="N144" t="str">
            <v xml:space="preserve"> </v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H145" t="str">
            <v xml:space="preserve"> </v>
          </cell>
          <cell r="I145" t="str">
            <v xml:space="preserve"> </v>
          </cell>
          <cell r="J145" t="str">
            <v xml:space="preserve"> </v>
          </cell>
          <cell r="M145" t="str">
            <v xml:space="preserve"> </v>
          </cell>
          <cell r="N145" t="str">
            <v xml:space="preserve"> </v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H146" t="str">
            <v xml:space="preserve"> </v>
          </cell>
          <cell r="I146" t="str">
            <v xml:space="preserve"> </v>
          </cell>
          <cell r="J146" t="str">
            <v xml:space="preserve"> </v>
          </cell>
          <cell r="M146" t="str">
            <v xml:space="preserve"> </v>
          </cell>
          <cell r="N146" t="str">
            <v xml:space="preserve"> </v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H147" t="str">
            <v xml:space="preserve"> </v>
          </cell>
          <cell r="I147" t="str">
            <v xml:space="preserve"> </v>
          </cell>
          <cell r="J147" t="str">
            <v xml:space="preserve"> </v>
          </cell>
          <cell r="M147" t="str">
            <v xml:space="preserve"> </v>
          </cell>
          <cell r="N147" t="str">
            <v xml:space="preserve"> </v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H148" t="str">
            <v xml:space="preserve"> </v>
          </cell>
          <cell r="I148" t="str">
            <v xml:space="preserve"> </v>
          </cell>
          <cell r="J148" t="str">
            <v xml:space="preserve"> </v>
          </cell>
          <cell r="M148" t="str">
            <v xml:space="preserve"> </v>
          </cell>
          <cell r="N148" t="str">
            <v xml:space="preserve"> </v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H149" t="str">
            <v xml:space="preserve"> </v>
          </cell>
          <cell r="I149" t="str">
            <v xml:space="preserve"> </v>
          </cell>
          <cell r="J149" t="str">
            <v xml:space="preserve"> </v>
          </cell>
          <cell r="M149" t="str">
            <v xml:space="preserve"> </v>
          </cell>
          <cell r="N149" t="str">
            <v xml:space="preserve"> </v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H150" t="str">
            <v xml:space="preserve"> </v>
          </cell>
          <cell r="I150" t="str">
            <v xml:space="preserve"> </v>
          </cell>
          <cell r="J150" t="str">
            <v xml:space="preserve"> </v>
          </cell>
          <cell r="M150" t="str">
            <v xml:space="preserve"> </v>
          </cell>
          <cell r="N150" t="str">
            <v xml:space="preserve"> </v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H151" t="str">
            <v xml:space="preserve"> </v>
          </cell>
          <cell r="I151" t="str">
            <v xml:space="preserve"> </v>
          </cell>
          <cell r="J151" t="str">
            <v xml:space="preserve"> </v>
          </cell>
          <cell r="M151" t="str">
            <v xml:space="preserve"> </v>
          </cell>
          <cell r="N151" t="str">
            <v xml:space="preserve"> </v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H152" t="str">
            <v xml:space="preserve"> </v>
          </cell>
          <cell r="I152" t="str">
            <v xml:space="preserve"> </v>
          </cell>
          <cell r="J152" t="str">
            <v xml:space="preserve"> </v>
          </cell>
          <cell r="M152" t="str">
            <v xml:space="preserve"> </v>
          </cell>
          <cell r="N152" t="str">
            <v xml:space="preserve"> </v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H153" t="str">
            <v xml:space="preserve"> </v>
          </cell>
          <cell r="I153" t="str">
            <v xml:space="preserve"> </v>
          </cell>
          <cell r="J153" t="str">
            <v xml:space="preserve"> </v>
          </cell>
          <cell r="M153" t="str">
            <v xml:space="preserve"> </v>
          </cell>
          <cell r="N153" t="str">
            <v xml:space="preserve"> </v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H154" t="str">
            <v xml:space="preserve"> </v>
          </cell>
          <cell r="I154" t="str">
            <v xml:space="preserve"> </v>
          </cell>
          <cell r="J154" t="str">
            <v xml:space="preserve"> </v>
          </cell>
          <cell r="M154" t="str">
            <v xml:space="preserve"> </v>
          </cell>
          <cell r="N154" t="str">
            <v xml:space="preserve"> </v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H155" t="str">
            <v xml:space="preserve"> </v>
          </cell>
          <cell r="I155" t="str">
            <v xml:space="preserve"> </v>
          </cell>
          <cell r="J155" t="str">
            <v xml:space="preserve"> </v>
          </cell>
          <cell r="M155" t="str">
            <v xml:space="preserve"> </v>
          </cell>
          <cell r="N155" t="str">
            <v xml:space="preserve"> </v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H156" t="str">
            <v xml:space="preserve"> </v>
          </cell>
          <cell r="I156" t="str">
            <v xml:space="preserve"> </v>
          </cell>
          <cell r="J156" t="str">
            <v xml:space="preserve"> </v>
          </cell>
          <cell r="M156" t="str">
            <v xml:space="preserve"> </v>
          </cell>
          <cell r="N156" t="str">
            <v xml:space="preserve"> </v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H157" t="str">
            <v xml:space="preserve"> </v>
          </cell>
          <cell r="I157" t="str">
            <v xml:space="preserve"> </v>
          </cell>
          <cell r="J157" t="str">
            <v xml:space="preserve"> </v>
          </cell>
          <cell r="M157" t="str">
            <v xml:space="preserve"> </v>
          </cell>
          <cell r="N157" t="str">
            <v xml:space="preserve"> </v>
          </cell>
          <cell r="P157" t="str">
            <v/>
          </cell>
          <cell r="Q157" t="str">
            <v/>
          </cell>
          <cell r="R157" t="str">
            <v/>
          </cell>
        </row>
        <row r="158">
          <cell r="H158" t="str">
            <v xml:space="preserve"> </v>
          </cell>
          <cell r="I158" t="str">
            <v xml:space="preserve"> </v>
          </cell>
          <cell r="J158" t="str">
            <v xml:space="preserve"> </v>
          </cell>
          <cell r="M158" t="str">
            <v xml:space="preserve"> </v>
          </cell>
          <cell r="N158" t="str">
            <v xml:space="preserve"> </v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H159" t="str">
            <v xml:space="preserve"> </v>
          </cell>
          <cell r="I159" t="str">
            <v xml:space="preserve"> </v>
          </cell>
          <cell r="J159" t="str">
            <v xml:space="preserve"> </v>
          </cell>
          <cell r="M159" t="str">
            <v xml:space="preserve"> </v>
          </cell>
          <cell r="N159" t="str">
            <v xml:space="preserve"> </v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M160" t="str">
            <v xml:space="preserve"> </v>
          </cell>
          <cell r="N160" t="str">
            <v xml:space="preserve"> </v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H161" t="str">
            <v xml:space="preserve"> </v>
          </cell>
          <cell r="I161" t="str">
            <v xml:space="preserve"> </v>
          </cell>
          <cell r="J161" t="str">
            <v xml:space="preserve"> </v>
          </cell>
          <cell r="M161" t="str">
            <v xml:space="preserve"> </v>
          </cell>
          <cell r="N161" t="str">
            <v xml:space="preserve"> </v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M162" t="str">
            <v xml:space="preserve"> </v>
          </cell>
          <cell r="N162" t="str">
            <v xml:space="preserve"> </v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H163" t="str">
            <v xml:space="preserve"> </v>
          </cell>
          <cell r="I163" t="str">
            <v xml:space="preserve"> </v>
          </cell>
          <cell r="J163" t="str">
            <v xml:space="preserve"> </v>
          </cell>
          <cell r="M163" t="str">
            <v xml:space="preserve"> </v>
          </cell>
          <cell r="N163" t="str">
            <v xml:space="preserve"> </v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H164" t="str">
            <v xml:space="preserve"> </v>
          </cell>
          <cell r="I164" t="str">
            <v xml:space="preserve"> </v>
          </cell>
          <cell r="J164" t="str">
            <v xml:space="preserve"> </v>
          </cell>
          <cell r="M164" t="str">
            <v xml:space="preserve"> </v>
          </cell>
          <cell r="N164" t="str">
            <v xml:space="preserve"> </v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M165" t="str">
            <v xml:space="preserve"> </v>
          </cell>
          <cell r="N165" t="str">
            <v xml:space="preserve"> </v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H166" t="str">
            <v xml:space="preserve"> </v>
          </cell>
          <cell r="I166" t="str">
            <v xml:space="preserve"> </v>
          </cell>
          <cell r="J166" t="str">
            <v xml:space="preserve"> </v>
          </cell>
          <cell r="M166" t="str">
            <v xml:space="preserve"> </v>
          </cell>
          <cell r="N166" t="str">
            <v xml:space="preserve"> </v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M167" t="str">
            <v xml:space="preserve"> </v>
          </cell>
          <cell r="N167" t="str">
            <v xml:space="preserve"> </v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H168" t="str">
            <v xml:space="preserve"> </v>
          </cell>
          <cell r="I168" t="str">
            <v xml:space="preserve"> </v>
          </cell>
          <cell r="J168" t="str">
            <v xml:space="preserve"> </v>
          </cell>
          <cell r="M168" t="str">
            <v xml:space="preserve"> </v>
          </cell>
          <cell r="N168" t="str">
            <v xml:space="preserve"> </v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H169" t="str">
            <v xml:space="preserve"> </v>
          </cell>
          <cell r="I169" t="str">
            <v xml:space="preserve"> </v>
          </cell>
          <cell r="J169" t="str">
            <v xml:space="preserve"> </v>
          </cell>
          <cell r="M169" t="str">
            <v xml:space="preserve"> </v>
          </cell>
          <cell r="N169" t="str">
            <v xml:space="preserve"> </v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M170" t="str">
            <v xml:space="preserve"> </v>
          </cell>
          <cell r="N170" t="str">
            <v xml:space="preserve"> </v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H171" t="str">
            <v xml:space="preserve"> </v>
          </cell>
          <cell r="I171" t="str">
            <v xml:space="preserve"> </v>
          </cell>
          <cell r="J171" t="str">
            <v xml:space="preserve"> </v>
          </cell>
          <cell r="M171" t="str">
            <v xml:space="preserve"> </v>
          </cell>
          <cell r="N171" t="str">
            <v xml:space="preserve"> </v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H172" t="str">
            <v xml:space="preserve"> </v>
          </cell>
          <cell r="I172" t="str">
            <v xml:space="preserve"> </v>
          </cell>
          <cell r="J172" t="str">
            <v xml:space="preserve"> </v>
          </cell>
          <cell r="M172" t="str">
            <v xml:space="preserve"> </v>
          </cell>
          <cell r="N172" t="str">
            <v xml:space="preserve"> </v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H173" t="str">
            <v xml:space="preserve"> </v>
          </cell>
          <cell r="I173" t="str">
            <v xml:space="preserve"> </v>
          </cell>
          <cell r="J173" t="str">
            <v xml:space="preserve"> </v>
          </cell>
          <cell r="M173" t="str">
            <v xml:space="preserve"> </v>
          </cell>
          <cell r="N173" t="str">
            <v xml:space="preserve"> </v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H174" t="str">
            <v xml:space="preserve"> </v>
          </cell>
          <cell r="I174" t="str">
            <v xml:space="preserve"> </v>
          </cell>
          <cell r="J174" t="str">
            <v xml:space="preserve"> </v>
          </cell>
          <cell r="M174" t="str">
            <v xml:space="preserve"> </v>
          </cell>
          <cell r="N174" t="str">
            <v xml:space="preserve"> </v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H175" t="str">
            <v xml:space="preserve"> </v>
          </cell>
          <cell r="I175" t="str">
            <v xml:space="preserve"> </v>
          </cell>
          <cell r="J175" t="str">
            <v xml:space="preserve"> </v>
          </cell>
          <cell r="M175" t="str">
            <v xml:space="preserve"> </v>
          </cell>
          <cell r="N175" t="str">
            <v xml:space="preserve"> </v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M176" t="str">
            <v xml:space="preserve"> </v>
          </cell>
          <cell r="N176" t="str">
            <v xml:space="preserve"> </v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H177" t="str">
            <v xml:space="preserve"> </v>
          </cell>
          <cell r="I177" t="str">
            <v xml:space="preserve"> </v>
          </cell>
          <cell r="J177" t="str">
            <v xml:space="preserve"> </v>
          </cell>
          <cell r="M177" t="str">
            <v xml:space="preserve"> </v>
          </cell>
          <cell r="N177" t="str">
            <v xml:space="preserve"> </v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M178" t="str">
            <v xml:space="preserve"> </v>
          </cell>
          <cell r="N178" t="str">
            <v xml:space="preserve"> </v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H179" t="str">
            <v xml:space="preserve"> </v>
          </cell>
          <cell r="I179" t="str">
            <v xml:space="preserve"> </v>
          </cell>
          <cell r="J179" t="str">
            <v xml:space="preserve"> </v>
          </cell>
          <cell r="M179" t="str">
            <v xml:space="preserve"> </v>
          </cell>
          <cell r="N179" t="str">
            <v xml:space="preserve"> </v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H180" t="str">
            <v xml:space="preserve"> </v>
          </cell>
          <cell r="I180" t="str">
            <v xml:space="preserve"> </v>
          </cell>
          <cell r="J180" t="str">
            <v xml:space="preserve"> </v>
          </cell>
          <cell r="M180" t="str">
            <v xml:space="preserve"> </v>
          </cell>
          <cell r="N180" t="str">
            <v xml:space="preserve"> </v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M181" t="str">
            <v xml:space="preserve"> </v>
          </cell>
          <cell r="N181" t="str">
            <v xml:space="preserve"> </v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H182" t="str">
            <v xml:space="preserve"> </v>
          </cell>
          <cell r="I182" t="str">
            <v xml:space="preserve"> </v>
          </cell>
          <cell r="J182" t="str">
            <v xml:space="preserve"> </v>
          </cell>
          <cell r="M182" t="str">
            <v xml:space="preserve"> </v>
          </cell>
          <cell r="N182" t="str">
            <v xml:space="preserve"> </v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H183" t="str">
            <v xml:space="preserve"> </v>
          </cell>
          <cell r="I183" t="str">
            <v xml:space="preserve"> </v>
          </cell>
          <cell r="J183" t="str">
            <v xml:space="preserve"> </v>
          </cell>
          <cell r="M183" t="str">
            <v xml:space="preserve"> </v>
          </cell>
          <cell r="N183" t="str">
            <v xml:space="preserve"> </v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H184" t="str">
            <v xml:space="preserve"> </v>
          </cell>
          <cell r="I184" t="str">
            <v xml:space="preserve"> </v>
          </cell>
          <cell r="J184" t="str">
            <v xml:space="preserve"> </v>
          </cell>
          <cell r="M184" t="str">
            <v xml:space="preserve"> </v>
          </cell>
          <cell r="N184" t="str">
            <v xml:space="preserve"> </v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H185" t="str">
            <v xml:space="preserve"> </v>
          </cell>
          <cell r="I185" t="str">
            <v xml:space="preserve"> </v>
          </cell>
          <cell r="J185" t="str">
            <v xml:space="preserve"> </v>
          </cell>
          <cell r="M185" t="str">
            <v xml:space="preserve"> </v>
          </cell>
          <cell r="N185" t="str">
            <v xml:space="preserve"> </v>
          </cell>
          <cell r="P185" t="str">
            <v/>
          </cell>
          <cell r="Q185" t="str">
            <v/>
          </cell>
          <cell r="R185" t="str">
            <v/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A3">
            <v>21</v>
          </cell>
          <cell r="I3">
            <v>6</v>
          </cell>
        </row>
        <row r="4">
          <cell r="A4">
            <v>22</v>
          </cell>
          <cell r="I4">
            <v>6.0890879786902508</v>
          </cell>
          <cell r="J4">
            <v>89.087978690251191</v>
          </cell>
          <cell r="L4">
            <v>1.1226170324781388</v>
          </cell>
          <cell r="M4">
            <v>0.10001168226672545</v>
          </cell>
        </row>
        <row r="5">
          <cell r="A5">
            <v>23</v>
          </cell>
          <cell r="I5">
            <v>6.2042353545133473</v>
          </cell>
          <cell r="J5">
            <v>115.14737582309647</v>
          </cell>
          <cell r="L5">
            <v>1.1335162269682073</v>
          </cell>
          <cell r="M5">
            <v>0.13052141898828648</v>
          </cell>
        </row>
        <row r="6">
          <cell r="A6">
            <v>24</v>
          </cell>
          <cell r="I6">
            <v>6.3448216656327858</v>
          </cell>
          <cell r="J6">
            <v>140.58631111943862</v>
          </cell>
          <cell r="L6">
            <v>1.1444154214582969</v>
          </cell>
          <cell r="M6">
            <v>0.1608891424910196</v>
          </cell>
        </row>
        <row r="7">
          <cell r="A7">
            <v>25</v>
          </cell>
          <cell r="I7">
            <v>6.5102264502120768</v>
          </cell>
          <cell r="J7">
            <v>165.40478457929134</v>
          </cell>
          <cell r="L7">
            <v>1.1553146159483647</v>
          </cell>
          <cell r="M7">
            <v>0.19109456517224596</v>
          </cell>
        </row>
        <row r="8">
          <cell r="A8">
            <v>26</v>
          </cell>
          <cell r="I8">
            <v>6.69982924641472</v>
          </cell>
          <cell r="J8">
            <v>189.60279620264291</v>
          </cell>
          <cell r="L8">
            <v>1.1771130049285334</v>
          </cell>
          <cell r="M8">
            <v>0.22318391718094535</v>
          </cell>
        </row>
        <row r="9">
          <cell r="A9">
            <v>27</v>
          </cell>
          <cell r="I9">
            <v>6.9130095924042214</v>
          </cell>
          <cell r="J9">
            <v>213.18034598950112</v>
          </cell>
          <cell r="L9">
            <v>1.1926239359569688</v>
          </cell>
          <cell r="M9">
            <v>0.25424398330266723</v>
          </cell>
        </row>
        <row r="10">
          <cell r="A10">
            <v>28</v>
          </cell>
          <cell r="I10">
            <v>7.1491470263440835</v>
          </cell>
          <cell r="J10">
            <v>236.13743393986215</v>
          </cell>
          <cell r="L10">
            <v>1.2082118648627664</v>
          </cell>
          <cell r="M10">
            <v>0.28530404942438914</v>
          </cell>
        </row>
        <row r="11">
          <cell r="A11">
            <v>29</v>
          </cell>
          <cell r="I11">
            <v>7.4076210863978105</v>
          </cell>
          <cell r="J11">
            <v>258.47406005372687</v>
          </cell>
          <cell r="L11">
            <v>1.2239685308473551</v>
          </cell>
          <cell r="M11">
            <v>0.3163641155461111</v>
          </cell>
        </row>
        <row r="12">
          <cell r="A12">
            <v>30</v>
          </cell>
          <cell r="I12">
            <v>7.6878113107289057</v>
          </cell>
          <cell r="J12">
            <v>280.19022433109529</v>
          </cell>
          <cell r="L12">
            <v>1.2399582551362989</v>
          </cell>
          <cell r="M12">
            <v>0.34742418166783307</v>
          </cell>
        </row>
        <row r="13">
          <cell r="A13">
            <v>31</v>
          </cell>
          <cell r="I13">
            <v>7.9890972375008733</v>
          </cell>
          <cell r="J13">
            <v>301.28592677196752</v>
          </cell>
          <cell r="L13">
            <v>1.2562294291164027</v>
          </cell>
          <cell r="M13">
            <v>0.37848424778955508</v>
          </cell>
        </row>
        <row r="14">
          <cell r="A14">
            <v>32</v>
          </cell>
          <cell r="I14">
            <v>8.3108584048772194</v>
          </cell>
          <cell r="J14">
            <v>321.76116737634538</v>
          </cell>
          <cell r="L14">
            <v>1.2728208231301508</v>
          </cell>
          <cell r="M14">
            <v>0.4095443139112781</v>
          </cell>
        </row>
        <row r="15">
          <cell r="A15">
            <v>33</v>
          </cell>
          <cell r="I15">
            <v>8.6524743510214428</v>
          </cell>
          <cell r="J15">
            <v>341.61594614422398</v>
          </cell>
          <cell r="L15">
            <v>1.289765261270865</v>
          </cell>
          <cell r="M15">
            <v>0.44060438003299879</v>
          </cell>
        </row>
        <row r="16">
          <cell r="A16">
            <v>34</v>
          </cell>
          <cell r="I16">
            <v>9.0133246140970478</v>
          </cell>
          <cell r="J16">
            <v>360.85026307560543</v>
          </cell>
          <cell r="L16">
            <v>1.3070918727746501</v>
          </cell>
          <cell r="M16">
            <v>0.47166444615471825</v>
          </cell>
        </row>
        <row r="17">
          <cell r="A17">
            <v>35</v>
          </cell>
          <cell r="I17">
            <v>9.3927887322675438</v>
          </cell>
          <cell r="J17">
            <v>379.46411817049545</v>
          </cell>
          <cell r="L17">
            <v>1.3248275349464416</v>
          </cell>
          <cell r="M17">
            <v>0.50272451227644277</v>
          </cell>
        </row>
        <row r="18">
          <cell r="A18">
            <v>36</v>
          </cell>
          <cell r="I18">
            <v>9.7902462436964282</v>
          </cell>
          <cell r="J18">
            <v>397.45751142888435</v>
          </cell>
          <cell r="L18">
            <v>1.34299783762842</v>
          </cell>
          <cell r="M18">
            <v>0.53378457839816473</v>
          </cell>
        </row>
        <row r="19">
          <cell r="A19">
            <v>37</v>
          </cell>
          <cell r="I19">
            <v>10.205076686547208</v>
          </cell>
          <cell r="J19">
            <v>414.83044285077989</v>
          </cell>
          <cell r="L19">
            <v>1.3616277547958766</v>
          </cell>
          <cell r="M19">
            <v>0.56484464451988659</v>
          </cell>
        </row>
        <row r="20">
          <cell r="A20">
            <v>38</v>
          </cell>
          <cell r="I20">
            <v>10.636659598983389</v>
          </cell>
          <cell r="J20">
            <v>431.5829124361801</v>
          </cell>
          <cell r="L20">
            <v>1.3807421319761526</v>
          </cell>
          <cell r="M20">
            <v>0.59590471064160844</v>
          </cell>
        </row>
        <row r="21">
          <cell r="A21">
            <v>39</v>
          </cell>
          <cell r="I21">
            <v>11.08437451916847</v>
          </cell>
          <cell r="J21">
            <v>447.71492018508116</v>
          </cell>
          <cell r="L21">
            <v>1.4003660554893929</v>
          </cell>
          <cell r="M21">
            <v>0.6269647767633304</v>
          </cell>
        </row>
        <row r="22">
          <cell r="A22">
            <v>40</v>
          </cell>
          <cell r="I22">
            <v>11.547600985265957</v>
          </cell>
          <cell r="J22">
            <v>463.22646609748693</v>
          </cell>
          <cell r="L22">
            <v>1.4205251449224676</v>
          </cell>
          <cell r="M22">
            <v>0.65802484288505514</v>
          </cell>
        </row>
        <row r="23">
          <cell r="A23">
            <v>41</v>
          </cell>
          <cell r="I23">
            <v>12.025718535439355</v>
          </cell>
          <cell r="J23">
            <v>478.11755017339738</v>
          </cell>
          <cell r="L23">
            <v>1.4282531472328754</v>
          </cell>
          <cell r="M23">
            <v>0.68287289578242705</v>
          </cell>
        </row>
        <row r="24">
          <cell r="A24">
            <v>42</v>
          </cell>
          <cell r="I24">
            <v>12.518106707852166</v>
          </cell>
          <cell r="J24">
            <v>492.3881724128106</v>
          </cell>
          <cell r="L24">
            <v>1.4373232102871576</v>
          </cell>
          <cell r="M24">
            <v>0.7077209486798075</v>
          </cell>
        </row>
        <row r="25">
          <cell r="A25">
            <v>43</v>
          </cell>
          <cell r="I25">
            <v>13.021520277357745</v>
          </cell>
          <cell r="J25">
            <v>503.41356950557804</v>
          </cell>
          <cell r="L25">
            <v>1.4552031291025174</v>
          </cell>
          <cell r="M25">
            <v>0.73256900157718485</v>
          </cell>
        </row>
        <row r="26">
          <cell r="A26">
            <v>44</v>
          </cell>
          <cell r="I26">
            <v>13.536206121090565</v>
          </cell>
          <cell r="J26">
            <v>514.68584373281965</v>
          </cell>
          <cell r="L26">
            <v>1.4716104274042321</v>
          </cell>
          <cell r="M26">
            <v>0.75741705447456253</v>
          </cell>
        </row>
        <row r="27">
          <cell r="A27">
            <v>45</v>
          </cell>
          <cell r="I27">
            <v>14.062416644178242</v>
          </cell>
          <cell r="J27">
            <v>526.21052308767685</v>
          </cell>
          <cell r="L27">
            <v>1.4866010333312976</v>
          </cell>
          <cell r="M27">
            <v>0.78226510737194288</v>
          </cell>
        </row>
        <row r="28">
          <cell r="A28">
            <v>46</v>
          </cell>
          <cell r="I28">
            <v>14.600409903522564</v>
          </cell>
          <cell r="J28">
            <v>537.99325934432181</v>
          </cell>
          <cell r="L28">
            <v>1.5002291315935434</v>
          </cell>
          <cell r="M28">
            <v>0.80711316026931201</v>
          </cell>
        </row>
        <row r="29">
          <cell r="A29">
            <v>47</v>
          </cell>
          <cell r="I29">
            <v>15.150449734352225</v>
          </cell>
          <cell r="J29">
            <v>550.03983082966033</v>
          </cell>
          <cell r="L29">
            <v>1.5193234639767439</v>
          </cell>
          <cell r="M29">
            <v>0.83568842110130181</v>
          </cell>
        </row>
        <row r="30">
          <cell r="A30">
            <v>48</v>
          </cell>
          <cell r="I30">
            <v>15.71280587960922</v>
          </cell>
          <cell r="J30">
            <v>562.35614525699452</v>
          </cell>
          <cell r="L30">
            <v>1.5368618076331808</v>
          </cell>
          <cell r="M30">
            <v>0.86426368193329217</v>
          </cell>
        </row>
        <row r="31">
          <cell r="A31">
            <v>49</v>
          </cell>
          <cell r="I31">
            <v>16.287754122232471</v>
          </cell>
          <cell r="J31">
            <v>574.94824262325153</v>
          </cell>
          <cell r="L31">
            <v>1.5529031599289957</v>
          </cell>
          <cell r="M31">
            <v>0.89283894276527009</v>
          </cell>
        </row>
        <row r="32">
          <cell r="A32">
            <v>50</v>
          </cell>
          <cell r="I32">
            <v>16.875576420403497</v>
          </cell>
          <cell r="J32">
            <v>587.82229817102746</v>
          </cell>
          <cell r="L32">
            <v>1.5675046803501234</v>
          </cell>
          <cell r="M32">
            <v>0.92141420359725146</v>
          </cell>
        </row>
        <row r="33">
          <cell r="A33">
            <v>51</v>
          </cell>
          <cell r="I33">
            <v>17.476561045820446</v>
          </cell>
          <cell r="J33">
            <v>600.98462541694789</v>
          </cell>
          <cell r="L33">
            <v>1.5807217427070732</v>
          </cell>
          <cell r="M33">
            <v>0.94998946442923538</v>
          </cell>
        </row>
        <row r="34">
          <cell r="A34">
            <v>52</v>
          </cell>
          <cell r="I34">
            <v>18.091002725068329</v>
          </cell>
          <cell r="J34">
            <v>614.44167924788064</v>
          </cell>
          <cell r="L34">
            <v>1.5926079859345812</v>
          </cell>
          <cell r="M34">
            <v>0.97856472526122917</v>
          </cell>
        </row>
        <row r="35">
          <cell r="A35">
            <v>53</v>
          </cell>
          <cell r="I35">
            <v>18.719202784154728</v>
          </cell>
          <cell r="J35">
            <v>628.20005908639996</v>
          </cell>
          <cell r="L35">
            <v>1.603215363522736</v>
          </cell>
          <cell r="M35">
            <v>1.0071399860932071</v>
          </cell>
        </row>
        <row r="36">
          <cell r="A36">
            <v>54</v>
          </cell>
          <cell r="I36">
            <v>19.36146929628201</v>
          </cell>
          <cell r="J36">
            <v>642.2665121272837</v>
          </cell>
          <cell r="L36">
            <v>1.6125941916148576</v>
          </cell>
          <cell r="M36">
            <v>1.0357152469251911</v>
          </cell>
        </row>
        <row r="37">
          <cell r="A37">
            <v>55</v>
          </cell>
          <cell r="I37">
            <v>20.018117232928262</v>
          </cell>
          <cell r="J37">
            <v>656.64793664625176</v>
          </cell>
          <cell r="L37">
            <v>1.6245772711863371</v>
          </cell>
          <cell r="M37">
            <v>1.0667753130469064</v>
          </cell>
        </row>
        <row r="38">
          <cell r="A38">
            <v>56</v>
          </cell>
          <cell r="I38">
            <v>20.689468618311306</v>
          </cell>
          <cell r="J38">
            <v>671.35138538304568</v>
          </cell>
          <cell r="L38">
            <v>1.6352619553205532</v>
          </cell>
          <cell r="M38">
            <v>1.0978353791686417</v>
          </cell>
        </row>
        <row r="39">
          <cell r="A39">
            <v>57</v>
          </cell>
          <cell r="I39">
            <v>21.375852687311333</v>
          </cell>
          <cell r="J39">
            <v>686.38406900002587</v>
          </cell>
          <cell r="L39">
            <v>1.65374971503695</v>
          </cell>
          <cell r="M39">
            <v>1.135107458514695</v>
          </cell>
        </row>
        <row r="40">
          <cell r="A40">
            <v>58</v>
          </cell>
          <cell r="I40">
            <v>22.077606046929766</v>
          </cell>
          <cell r="J40">
            <v>701.75335961843109</v>
          </cell>
          <cell r="L40">
            <v>1.6706432848404646</v>
          </cell>
          <cell r="M40">
            <v>1.1723795378607675</v>
          </cell>
        </row>
        <row r="41">
          <cell r="A41">
            <v>59</v>
          </cell>
          <cell r="I41">
            <v>22.795072841363378</v>
          </cell>
          <cell r="J41">
            <v>717.46679443361188</v>
          </cell>
          <cell r="L41">
            <v>1.6860036263584384</v>
          </cell>
          <cell r="M41">
            <v>1.2096516172068337</v>
          </cell>
        </row>
        <row r="42">
          <cell r="A42">
            <v>60</v>
          </cell>
          <cell r="I42">
            <v>23.528194024845337</v>
          </cell>
          <cell r="J42">
            <v>733.12118348195941</v>
          </cell>
          <cell r="L42">
            <v>1.6891428821510732</v>
          </cell>
          <cell r="M42">
            <v>1.2383464288327228</v>
          </cell>
        </row>
        <row r="43">
          <cell r="A43">
            <v>61</v>
          </cell>
          <cell r="I43">
            <v>24.279978571820696</v>
          </cell>
          <cell r="J43">
            <v>751.78454697535642</v>
          </cell>
          <cell r="L43">
            <v>1.7265746879650576</v>
          </cell>
          <cell r="M43">
            <v>1.2980121696109284</v>
          </cell>
        </row>
        <row r="44">
          <cell r="A44">
            <v>62</v>
          </cell>
          <cell r="I44">
            <v>25.042361886562691</v>
          </cell>
          <cell r="J44">
            <v>762.38331474199458</v>
          </cell>
          <cell r="L44">
            <v>1.7494064849236597</v>
          </cell>
          <cell r="M44">
            <v>1.3337183148072409</v>
          </cell>
        </row>
        <row r="45">
          <cell r="A45">
            <v>63</v>
          </cell>
          <cell r="I45">
            <v>25.815196947691</v>
          </cell>
          <cell r="J45">
            <v>772.83506112830935</v>
          </cell>
          <cell r="L45">
            <v>1.7721275453847876</v>
          </cell>
          <cell r="M45">
            <v>1.3695622998646131</v>
          </cell>
        </row>
        <row r="46">
          <cell r="A46">
            <v>64</v>
          </cell>
          <cell r="I46">
            <v>26.598334463526566</v>
          </cell>
          <cell r="J46">
            <v>783.13751583556461</v>
          </cell>
          <cell r="L46">
            <v>1.7947279632507784</v>
          </cell>
          <cell r="M46">
            <v>1.4055187987408371</v>
          </cell>
        </row>
        <row r="47">
          <cell r="A47">
            <v>65</v>
          </cell>
          <cell r="I47">
            <v>27.391622975758104</v>
          </cell>
          <cell r="J47">
            <v>793.28851223153617</v>
          </cell>
          <cell r="L47">
            <v>1.8171983273564183</v>
          </cell>
          <cell r="M47">
            <v>1.4415625575382092</v>
          </cell>
        </row>
        <row r="48">
          <cell r="A48">
            <v>66</v>
          </cell>
          <cell r="I48">
            <v>28.194908962891979</v>
          </cell>
          <cell r="J48">
            <v>803.28598713387566</v>
          </cell>
          <cell r="L48">
            <v>1.8395297198304357</v>
          </cell>
          <cell r="M48">
            <v>1.4776684468560932</v>
          </cell>
        </row>
        <row r="49">
          <cell r="A49">
            <v>67</v>
          </cell>
          <cell r="I49">
            <v>29.008036943424592</v>
          </cell>
          <cell r="J49">
            <v>813.12798053261417</v>
          </cell>
          <cell r="L49">
            <v>1.8617137150073881</v>
          </cell>
          <cell r="M49">
            <v>1.5138115134138284</v>
          </cell>
        </row>
        <row r="50">
          <cell r="A50">
            <v>68</v>
          </cell>
          <cell r="I50">
            <v>29.830849578675302</v>
          </cell>
          <cell r="J50">
            <v>822.81263525070824</v>
          </cell>
          <cell r="L50">
            <v>1.8837423786738501</v>
          </cell>
          <cell r="M50">
            <v>1.5499670307300681</v>
          </cell>
        </row>
        <row r="51">
          <cell r="A51">
            <v>69</v>
          </cell>
          <cell r="I51">
            <v>30.663187775215619</v>
          </cell>
          <cell r="J51">
            <v>832.3381965403147</v>
          </cell>
          <cell r="L51">
            <v>1.9056082674623489</v>
          </cell>
          <cell r="M51">
            <v>1.5861105486519251</v>
          </cell>
        </row>
        <row r="52">
          <cell r="A52">
            <v>70</v>
          </cell>
          <cell r="I52">
            <v>31.504890786830554</v>
          </cell>
          <cell r="J52">
            <v>841.70301161493535</v>
          </cell>
          <cell r="L52">
            <v>1.9273044282249521</v>
          </cell>
          <cell r="M52">
            <v>1.6222179415357432</v>
          </cell>
        </row>
        <row r="53">
          <cell r="A53">
            <v>71</v>
          </cell>
          <cell r="I53">
            <v>32.355796315946755</v>
          </cell>
          <cell r="J53">
            <v>850.90552911619955</v>
          </cell>
          <cell r="L53">
            <v>1.9488243972440411</v>
          </cell>
          <cell r="M53">
            <v>1.6582654548914995</v>
          </cell>
        </row>
        <row r="54">
          <cell r="A54">
            <v>72</v>
          </cell>
          <cell r="I54">
            <v>33.215740614461993</v>
          </cell>
          <cell r="J54">
            <v>859.94429851523716</v>
          </cell>
          <cell r="L54">
            <v>1.9701621991543974</v>
          </cell>
          <cell r="M54">
            <v>1.6942297503130652</v>
          </cell>
        </row>
        <row r="55">
          <cell r="A55">
            <v>73</v>
          </cell>
          <cell r="I55">
            <v>34.084558583910592</v>
          </cell>
          <cell r="J55">
            <v>868.81796944860037</v>
          </cell>
          <cell r="L55">
            <v>1.9913123454701303</v>
          </cell>
          <cell r="M55">
            <v>1.7300879485292882</v>
          </cell>
        </row>
        <row r="56">
          <cell r="A56">
            <v>74</v>
          </cell>
          <cell r="I56">
            <v>34.96208387489947</v>
          </cell>
          <cell r="J56">
            <v>877.52529098887544</v>
          </cell>
          <cell r="L56">
            <v>2.0122698326255914</v>
          </cell>
          <cell r="M56">
            <v>1.7658176704229078</v>
          </cell>
        </row>
        <row r="57">
          <cell r="A57">
            <v>75</v>
          </cell>
          <cell r="I57">
            <v>35.848148985750264</v>
          </cell>
          <cell r="J57">
            <v>886.06511085079683</v>
          </cell>
          <cell r="L57">
            <v>2.033030139454457</v>
          </cell>
          <cell r="M57">
            <v>1.8013970758787243</v>
          </cell>
        </row>
        <row r="58">
          <cell r="A58">
            <v>76</v>
          </cell>
          <cell r="I58">
            <v>36.742585360283307</v>
          </cell>
          <cell r="J58">
            <v>894.43637453304143</v>
          </cell>
          <cell r="L58">
            <v>2.0535892240463349</v>
          </cell>
          <cell r="M58">
            <v>1.8368049003361258</v>
          </cell>
        </row>
        <row r="59">
          <cell r="A59">
            <v>77</v>
          </cell>
          <cell r="I59">
            <v>37.645223484680592</v>
          </cell>
          <cell r="J59">
            <v>902.63812439728736</v>
          </cell>
          <cell r="L59">
            <v>2.0739435199308844</v>
          </cell>
          <cell r="M59">
            <v>1.8720204889363217</v>
          </cell>
        </row>
        <row r="60">
          <cell r="A60">
            <v>78</v>
          </cell>
          <cell r="I60">
            <v>38.555892983365545</v>
          </cell>
          <cell r="J60">
            <v>910.66949868495033</v>
          </cell>
          <cell r="L60">
            <v>2.0940899315541324</v>
          </cell>
          <cell r="M60">
            <v>1.9070238281696035</v>
          </cell>
        </row>
        <row r="61">
          <cell r="A61">
            <v>79</v>
          </cell>
          <cell r="I61">
            <v>39.474422713839076</v>
          </cell>
          <cell r="J61">
            <v>918.52973047353191</v>
          </cell>
          <cell r="L61">
            <v>2.1140258290199005</v>
          </cell>
          <cell r="M61">
            <v>1.9417955749437343</v>
          </cell>
        </row>
        <row r="62">
          <cell r="A62">
            <v>80</v>
          </cell>
          <cell r="I62">
            <v>40.400640860412537</v>
          </cell>
          <cell r="J62">
            <v>926.21814657346272</v>
          </cell>
          <cell r="L62">
            <v>2.1337490420817109</v>
          </cell>
          <cell r="M62">
            <v>1.9763170830098238</v>
          </cell>
        </row>
        <row r="63">
          <cell r="A63">
            <v>81</v>
          </cell>
          <cell r="I63">
            <v>41.334375026779924</v>
          </cell>
          <cell r="J63">
            <v>933.73416636739034</v>
          </cell>
          <cell r="L63">
            <v>2.153257853378221</v>
          </cell>
          <cell r="M63">
            <v>2.0105704266981492</v>
          </cell>
        </row>
        <row r="64">
          <cell r="A64">
            <v>82</v>
          </cell>
          <cell r="I64">
            <v>42.27545232737338</v>
          </cell>
          <cell r="J64">
            <v>941.07730059345374</v>
          </cell>
          <cell r="L64">
            <v>2.172550990914401</v>
          </cell>
          <cell r="M64">
            <v>2.0445384219313576</v>
          </cell>
        </row>
        <row r="65">
          <cell r="A65">
            <v>83</v>
          </cell>
          <cell r="I65">
            <v>43.223699477447909</v>
          </cell>
          <cell r="J65">
            <v>948.24715007452664</v>
          </cell>
          <cell r="L65">
            <v>2.1916276197986133</v>
          </cell>
          <cell r="M65">
            <v>2.0782046444986535</v>
          </cell>
        </row>
        <row r="66">
          <cell r="A66">
            <v>84</v>
          </cell>
          <cell r="I66">
            <v>44.178942881842943</v>
          </cell>
          <cell r="J66">
            <v>955.24340439503521</v>
          </cell>
          <cell r="L66">
            <v>2.210487333252237</v>
          </cell>
          <cell r="M66">
            <v>2.1115534455879694</v>
          </cell>
        </row>
        <row r="67">
          <cell r="A67">
            <v>85</v>
          </cell>
          <cell r="I67">
            <v>45.141008722370863</v>
          </cell>
          <cell r="J67">
            <v>962.06584052791789</v>
          </cell>
          <cell r="L67">
            <v>2.2291301429151598</v>
          </cell>
          <cell r="M67">
            <v>2.1445699645897909</v>
          </cell>
        </row>
        <row r="68">
          <cell r="A68">
            <v>86</v>
          </cell>
          <cell r="I68">
            <v>46.109723043784157</v>
          </cell>
          <cell r="J68">
            <v>968.71432141329797</v>
          </cell>
          <cell r="L68">
            <v>2.2475564684760911</v>
          </cell>
          <cell r="M68">
            <v>2.1772401391978846</v>
          </cell>
        </row>
        <row r="69">
          <cell r="A69">
            <v>87</v>
          </cell>
          <cell r="I69">
            <v>47.084911838275637</v>
          </cell>
          <cell r="J69">
            <v>975.18879449147983</v>
          </cell>
          <cell r="L69">
            <v>2.2657671266613084</v>
          </cell>
          <cell r="M69">
            <v>2.2095507128472653</v>
          </cell>
        </row>
        <row r="70">
          <cell r="A70">
            <v>88</v>
          </cell>
          <cell r="I70">
            <v>48.066401128467909</v>
          </cell>
          <cell r="J70">
            <v>981.48929019227035</v>
          </cell>
          <cell r="L70">
            <v>2.2837633196203933</v>
          </cell>
          <cell r="M70">
            <v>2.2414892395413633</v>
          </cell>
        </row>
        <row r="71">
          <cell r="A71">
            <v>89</v>
          </cell>
          <cell r="I71">
            <v>49.054017048851073</v>
          </cell>
          <cell r="J71">
            <v>987.61592038316155</v>
          </cell>
          <cell r="L71">
            <v>2.3015466227501551</v>
          </cell>
          <cell r="M71">
            <v>2.2730440861321517</v>
          </cell>
        </row>
        <row r="72">
          <cell r="A72">
            <v>90</v>
          </cell>
          <cell r="I72">
            <v>50.047585925629484</v>
          </cell>
          <cell r="J72">
            <v>993.56887677841144</v>
          </cell>
          <cell r="L72">
            <v>2.3191189720031544</v>
          </cell>
          <cell r="M72">
            <v>2.3042044321286781</v>
          </cell>
        </row>
        <row r="73">
          <cell r="A73">
            <v>91</v>
          </cell>
          <cell r="I73">
            <v>51.046934354941378</v>
          </cell>
          <cell r="J73">
            <v>999.34842931189678</v>
          </cell>
          <cell r="L73">
            <v>2.3364826507264391</v>
          </cell>
          <cell r="M73">
            <v>2.3349602671179643</v>
          </cell>
        </row>
        <row r="74">
          <cell r="A74">
            <v>92</v>
          </cell>
          <cell r="I74">
            <v>52.051889279416983</v>
          </cell>
          <cell r="J74">
            <v>1004.9549244756043</v>
          </cell>
          <cell r="L74">
            <v>2.3536402760822499</v>
          </cell>
          <cell r="M74">
            <v>2.3653023858929783</v>
          </cell>
        </row>
        <row r="75">
          <cell r="A75">
            <v>93</v>
          </cell>
          <cell r="I75">
            <v>53.062278063043777</v>
          </cell>
          <cell r="J75">
            <v>1010.388783626797</v>
          </cell>
          <cell r="L75">
            <v>2.37059478510022</v>
          </cell>
          <cell r="M75">
            <v>2.39522238138944</v>
          </cell>
        </row>
        <row r="76">
          <cell r="A76">
            <v>94</v>
          </cell>
          <cell r="I76">
            <v>54.077928564309673</v>
          </cell>
          <cell r="J76">
            <v>1015.6505012658935</v>
          </cell>
          <cell r="L76">
            <v>2.3873494204138668</v>
          </cell>
          <cell r="M76">
            <v>2.424712635540184</v>
          </cell>
        </row>
        <row r="77">
          <cell r="A77">
            <v>95</v>
          </cell>
          <cell r="I77">
            <v>55.09866920759714</v>
          </cell>
          <cell r="J77">
            <v>1020.7406432874652</v>
          </cell>
          <cell r="L77">
            <v>2.4039077157348774</v>
          </cell>
          <cell r="M77">
            <v>2.45376630816292</v>
          </cell>
        </row>
        <row r="78">
          <cell r="A78">
            <v>96</v>
          </cell>
          <cell r="I78">
            <v>56.124329052804697</v>
          </cell>
          <cell r="J78">
            <v>1025.6598452075536</v>
          </cell>
          <cell r="L78">
            <v>2.4202734811159266</v>
          </cell>
          <cell r="M78">
            <v>2.4823773240013081</v>
          </cell>
        </row>
        <row r="79">
          <cell r="A79">
            <v>97</v>
          </cell>
          <cell r="I79">
            <v>57.154737863173288</v>
          </cell>
          <cell r="J79">
            <v>1030.4088103685947</v>
          </cell>
          <cell r="L79">
            <v>2.4364507880574138</v>
          </cell>
          <cell r="M79">
            <v>2.5105403580438646</v>
          </cell>
        </row>
        <row r="80">
          <cell r="A80">
            <v>98</v>
          </cell>
          <cell r="I80">
            <v>58.18972617129895</v>
          </cell>
          <cell r="J80">
            <v>1034.9883081256608</v>
          </cell>
          <cell r="L80">
            <v>2.4524439545073102</v>
          </cell>
          <cell r="M80">
            <v>2.538250819248526</v>
          </cell>
        </row>
        <row r="81">
          <cell r="A81">
            <v>99</v>
          </cell>
          <cell r="I81">
            <v>59.229125343314294</v>
          </cell>
          <cell r="J81">
            <v>1039.3991720153447</v>
          </cell>
          <cell r="L81">
            <v>2.4682575298074227</v>
          </cell>
          <cell r="M81">
            <v>2.5655048328024748</v>
          </cell>
        </row>
        <row r="82">
          <cell r="A82">
            <v>100</v>
          </cell>
          <cell r="I82">
            <v>60.272767641224874</v>
          </cell>
          <cell r="J82">
            <v>1043.6422979105764</v>
          </cell>
          <cell r="L82">
            <v>2.4838962796337749</v>
          </cell>
          <cell r="M82">
            <v>2.5922992210485245</v>
          </cell>
        </row>
        <row r="83">
          <cell r="A83">
            <v>101</v>
          </cell>
          <cell r="I83">
            <v>61.320486283387936</v>
          </cell>
          <cell r="J83">
            <v>1047.7186421630638</v>
          </cell>
          <cell r="L83">
            <v>2.4993651709807914</v>
          </cell>
          <cell r="M83">
            <v>2.6186314832096484</v>
          </cell>
        </row>
        <row r="84">
          <cell r="A84">
            <v>102</v>
          </cell>
          <cell r="I84">
            <v>62.372115503124206</v>
          </cell>
          <cell r="J84">
            <v>1051.6292197362711</v>
          </cell>
          <cell r="L84">
            <v>2.5146693572341716</v>
          </cell>
          <cell r="M84">
            <v>2.6444997740428819</v>
          </cell>
        </row>
        <row r="85">
          <cell r="A85">
            <v>103</v>
          </cell>
          <cell r="I85">
            <v>63.427490605455077</v>
          </cell>
          <cell r="J85">
            <v>1055.3751023308691</v>
          </cell>
          <cell r="L85">
            <v>2.5298141633774569</v>
          </cell>
          <cell r="M85">
            <v>2.6699028815525656</v>
          </cell>
        </row>
        <row r="86">
          <cell r="A86">
            <v>104</v>
          </cell>
          <cell r="I86">
            <v>64.48644802195993</v>
          </cell>
          <cell r="J86">
            <v>1058.9574165048525</v>
          </cell>
          <cell r="L86">
            <v>2.5448050713746699</v>
          </cell>
          <cell r="M86">
            <v>2.6948402038913675</v>
          </cell>
        </row>
        <row r="87">
          <cell r="A87">
            <v>105</v>
          </cell>
          <cell r="I87">
            <v>65.548825363751163</v>
          </cell>
          <cell r="J87">
            <v>1062.3773417912357</v>
          </cell>
          <cell r="L87">
            <v>2.5596477057665981</v>
          </cell>
          <cell r="M87">
            <v>2.7193117255743533</v>
          </cell>
        </row>
        <row r="88">
          <cell r="A88">
            <v>106</v>
          </cell>
          <cell r="I88">
            <v>66.614461472565523</v>
          </cell>
          <cell r="J88">
            <v>1065.6361088143638</v>
          </cell>
          <cell r="L88">
            <v>2.5743478195207095</v>
          </cell>
          <cell r="M88">
            <v>2.743317993128791</v>
          </cell>
        </row>
        <row r="89">
          <cell r="A89">
            <v>107</v>
          </cell>
          <cell r="I89">
            <v>67.683196469973424</v>
          </cell>
          <cell r="J89">
            <v>1068.734997407905</v>
          </cell>
          <cell r="L89">
            <v>2.5889112801668479</v>
          </cell>
          <cell r="M89">
            <v>2.7668600902984122</v>
          </cell>
        </row>
        <row r="90">
          <cell r="A90">
            <v>108</v>
          </cell>
          <cell r="I90">
            <v>68.75487180470995</v>
          </cell>
          <cell r="J90">
            <v>1071.6753347365197</v>
          </cell>
          <cell r="L90">
            <v>2.6033440562506103</v>
          </cell>
          <cell r="M90">
            <v>2.7899396129167022</v>
          </cell>
        </row>
        <row r="91">
          <cell r="A91">
            <v>109</v>
          </cell>
          <cell r="I91">
            <v>69.82933029813212</v>
          </cell>
          <cell r="J91">
            <v>1074.4584934221643</v>
          </cell>
          <cell r="L91">
            <v>2.6176522041355255</v>
          </cell>
          <cell r="M91">
            <v>2.8125586435586647</v>
          </cell>
        </row>
        <row r="92">
          <cell r="A92">
            <v>110</v>
          </cell>
          <cell r="I92">
            <v>70.906416187810777</v>
          </cell>
          <cell r="J92">
            <v>1077.0858896786517</v>
          </cell>
          <cell r="L92">
            <v>2.6318418551769533</v>
          </cell>
          <cell r="M92">
            <v>2.834719726076782</v>
          </cell>
        </row>
        <row r="93">
          <cell r="A93">
            <v>111</v>
          </cell>
          <cell r="I93">
            <v>71.9859751692656</v>
          </cell>
          <cell r="J93">
            <v>1079.5589814548293</v>
          </cell>
          <cell r="L93">
            <v>2.6459192032938503</v>
          </cell>
          <cell r="M93">
            <v>2.8564258401196829</v>
          </cell>
        </row>
        <row r="94">
          <cell r="A94">
            <v>112</v>
          </cell>
          <cell r="I94">
            <v>73.067854435854514</v>
          </cell>
          <cell r="J94">
            <v>1081.8792665889086</v>
          </cell>
          <cell r="L94">
            <v>2.6598904929580724</v>
          </cell>
          <cell r="M94">
            <v>2.8776803757282896</v>
          </cell>
        </row>
        <row r="95">
          <cell r="A95">
            <v>113</v>
          </cell>
          <cell r="I95">
            <v>74.151902716830364</v>
          </cell>
          <cell r="J95">
            <v>1084.0482809758457</v>
          </cell>
          <cell r="L95">
            <v>2.6737620076182553</v>
          </cell>
          <cell r="M95">
            <v>2.8984871080970964</v>
          </cell>
        </row>
        <row r="96">
          <cell r="A96">
            <v>114</v>
          </cell>
          <cell r="I96">
            <v>75.237970313579126</v>
          </cell>
          <cell r="J96">
            <v>1086.0675967487598</v>
          </cell>
          <cell r="L96">
            <v>2.6875400585753781</v>
          </cell>
          <cell r="M96">
            <v>2.9188501725829825</v>
          </cell>
        </row>
        <row r="97">
          <cell r="A97">
            <v>115</v>
          </cell>
          <cell r="I97">
            <v>76.325909134055976</v>
          </cell>
          <cell r="J97">
            <v>1087.9388204768522</v>
          </cell>
          <cell r="L97">
            <v>2.7012309743206648</v>
          </cell>
          <cell r="M97">
            <v>2.9387740400379623</v>
          </cell>
        </row>
        <row r="98">
          <cell r="A98">
            <v>116</v>
          </cell>
          <cell r="I98">
            <v>77.415572725436576</v>
          </cell>
          <cell r="J98">
            <v>1089.6635913806006</v>
          </cell>
          <cell r="L98">
            <v>2.7148410903472215</v>
          </cell>
          <cell r="M98">
            <v>2.9582634925353788</v>
          </cell>
        </row>
        <row r="99">
          <cell r="A99">
            <v>117</v>
          </cell>
          <cell r="I99">
            <v>78.506816305002587</v>
          </cell>
          <cell r="J99">
            <v>1091.243579566016</v>
          </cell>
          <cell r="L99">
            <v>2.728376739442762</v>
          </cell>
          <cell r="M99">
            <v>2.9773235995541749</v>
          </cell>
        </row>
        <row r="100">
          <cell r="A100">
            <v>118</v>
          </cell>
          <cell r="I100">
            <v>79.599496789282341</v>
          </cell>
          <cell r="J100">
            <v>1092.6804842797524</v>
          </cell>
          <cell r="L100">
            <v>2.7418442424677676</v>
          </cell>
          <cell r="M100">
            <v>2.9959596946793314</v>
          </cell>
        </row>
        <row r="101">
          <cell r="A101">
            <v>119</v>
          </cell>
          <cell r="I101">
            <v>80.693472821467722</v>
          </cell>
          <cell r="J101">
            <v>1093.9760321853801</v>
          </cell>
          <cell r="L101">
            <v>2.7552498996235855</v>
          </cell>
          <cell r="M101">
            <v>3.0141773528693765</v>
          </cell>
        </row>
        <row r="102">
          <cell r="A102">
            <v>120</v>
          </cell>
          <cell r="I102">
            <v>81.788604797131015</v>
          </cell>
          <cell r="J102">
            <v>1095.1319756632993</v>
          </cell>
          <cell r="L102">
            <v>2.7685999822101377</v>
          </cell>
          <cell r="M102">
            <v>3.0319823683391633</v>
          </cell>
        </row>
        <row r="103">
          <cell r="A103">
            <v>121</v>
          </cell>
          <cell r="I103">
            <v>82.884754888265434</v>
          </cell>
          <cell r="J103">
            <v>1096.1500911344178</v>
          </cell>
          <cell r="L103">
            <v>2.7819007248726275</v>
          </cell>
          <cell r="M103">
            <v>3.0493807330960334</v>
          </cell>
        </row>
        <row r="104">
          <cell r="A104">
            <v>122</v>
          </cell>
          <cell r="I104">
            <v>83.981787065674723</v>
          </cell>
          <cell r="J104">
            <v>1097.0321774092881</v>
          </cell>
          <cell r="L104">
            <v>2.7951583183347091</v>
          </cell>
          <cell r="M104">
            <v>3.0663786161664102</v>
          </cell>
        </row>
        <row r="105">
          <cell r="A105">
            <v>123</v>
          </cell>
          <cell r="I105">
            <v>85.079567119738485</v>
          </cell>
          <cell r="J105">
            <v>1097.7800540637629</v>
          </cell>
          <cell r="L105">
            <v>2.808378902612092</v>
          </cell>
          <cell r="M105">
            <v>3.0829823435410337</v>
          </cell>
        </row>
        <row r="106">
          <cell r="A106">
            <v>124</v>
          </cell>
          <cell r="I106">
            <v>86.17796267958019</v>
          </cell>
          <cell r="J106">
            <v>1098.3955598417094</v>
          </cell>
          <cell r="L106">
            <v>2.8215685607019445</v>
          </cell>
          <cell r="M106">
            <v>3.0991983788639788</v>
          </cell>
        </row>
        <row r="107">
          <cell r="A107">
            <v>125</v>
          </cell>
          <cell r="I107">
            <v>87.276843230666159</v>
          </cell>
          <cell r="J107">
            <v>1098.8805510859659</v>
          </cell>
          <cell r="L107">
            <v>2.8347333127392935</v>
          </cell>
          <cell r="M107">
            <v>3.1150333048847005</v>
          </cell>
        </row>
        <row r="108">
          <cell r="A108">
            <v>126</v>
          </cell>
          <cell r="I108">
            <v>88.376080130864835</v>
          </cell>
          <cell r="J108">
            <v>1099.2369001986744</v>
          </cell>
          <cell r="L108">
            <v>2.8478791106109385</v>
          </cell>
          <cell r="M108">
            <v>3.1304938056885256</v>
          </cell>
        </row>
        <row r="109">
          <cell r="A109">
            <v>127</v>
          </cell>
          <cell r="I109">
            <v>89.475546624995644</v>
          </cell>
          <cell r="J109">
            <v>1099.4664941308126</v>
          </cell>
          <cell r="L109">
            <v>2.8610118330182579</v>
          </cell>
          <cell r="M109">
            <v>3.1455866497153533</v>
          </cell>
        </row>
        <row r="110">
          <cell r="A110">
            <v>128</v>
          </cell>
          <cell r="I110">
            <v>90.575117857898576</v>
          </cell>
          <cell r="J110">
            <v>1099.5712329029323</v>
          </cell>
          <cell r="L110">
            <v>2.8741372809749199</v>
          </cell>
          <cell r="M110">
            <v>3.1603186735738742</v>
          </cell>
        </row>
        <row r="111">
          <cell r="A111">
            <v>129</v>
          </cell>
          <cell r="I111">
            <v>91.674670886054855</v>
          </cell>
          <cell r="J111">
            <v>1099.5530281562751</v>
          </cell>
          <cell r="L111">
            <v>2.8872611737302427</v>
          </cell>
          <cell r="M111">
            <v>3.1746967666531298</v>
          </cell>
        </row>
        <row r="112">
          <cell r="A112">
            <v>130</v>
          </cell>
          <cell r="I112">
            <v>92.774084687791046</v>
          </cell>
          <cell r="J112">
            <v>1099.4138017361897</v>
          </cell>
          <cell r="L112">
            <v>2.9003891451019017</v>
          </cell>
          <cell r="M112">
            <v>3.1887278565308588</v>
          </cell>
        </row>
        <row r="113">
          <cell r="A113">
            <v>131</v>
          </cell>
          <cell r="I113">
            <v>93.873240172098434</v>
          </cell>
          <cell r="J113">
            <v>1099.1554843073827</v>
          </cell>
          <cell r="L113">
            <v>2.9135267402064895</v>
          </cell>
          <cell r="M113">
            <v>3.2024188951741741</v>
          </cell>
        </row>
        <row r="114">
          <cell r="A114">
            <v>132</v>
          </cell>
          <cell r="I114">
            <v>94.97202018610038</v>
          </cell>
          <cell r="J114">
            <v>1098.7800140019426</v>
          </cell>
          <cell r="L114">
            <v>2.9266794125722715</v>
          </cell>
          <cell r="M114">
            <v>3.2157768459253577</v>
          </cell>
        </row>
        <row r="115">
          <cell r="A115">
            <v>133</v>
          </cell>
          <cell r="I115">
            <v>96.07030952120067</v>
          </cell>
          <cell r="J115">
            <v>1098.2893351002926</v>
          </cell>
          <cell r="L115">
            <v>2.9398525216194513</v>
          </cell>
          <cell r="M115">
            <v>3.2288086712623461</v>
          </cell>
        </row>
        <row r="116">
          <cell r="A116">
            <v>134</v>
          </cell>
          <cell r="I116">
            <v>97.167994917946046</v>
          </cell>
          <cell r="J116">
            <v>1097.685396745371</v>
          </cell>
          <cell r="L116">
            <v>2.9530513304928951</v>
          </cell>
          <cell r="M116">
            <v>3.2415213213215393</v>
          </cell>
        </row>
        <row r="117">
          <cell r="A117">
            <v>135</v>
          </cell>
          <cell r="I117">
            <v>98.264965069636901</v>
          </cell>
          <cell r="J117">
            <v>1096.970151690854</v>
          </cell>
          <cell r="L117">
            <v>2.9662810042303738</v>
          </cell>
          <cell r="M117">
            <v>3.2539217231682915</v>
          </cell>
        </row>
        <row r="118">
          <cell r="A118">
            <v>136</v>
          </cell>
          <cell r="I118">
            <v>99.361110624719302</v>
          </cell>
          <cell r="J118">
            <v>1096.145555082401</v>
          </cell>
          <cell r="L118">
            <v>2.9795466082536688</v>
          </cell>
          <cell r="M118">
            <v>3.2660167707981023</v>
          </cell>
        </row>
        <row r="119">
          <cell r="A119">
            <v>137</v>
          </cell>
          <cell r="I119">
            <v>100.45632418799291</v>
          </cell>
          <cell r="J119">
            <v>1095.213563273601</v>
          </cell>
          <cell r="L119">
            <v>2.9928531071622455</v>
          </cell>
          <cell r="M119">
            <v>3.2778133158496314</v>
          </cell>
        </row>
        <row r="120">
          <cell r="A120">
            <v>138</v>
          </cell>
          <cell r="I120">
            <v>101.55050032066856</v>
          </cell>
          <cell r="J120">
            <v>1094.1761326756614</v>
          </cell>
          <cell r="L120">
            <v>3.0062053638170227</v>
          </cell>
          <cell r="M120">
            <v>3.2893181590101399</v>
          </cell>
        </row>
        <row r="121">
          <cell r="A121">
            <v>139</v>
          </cell>
          <cell r="I121">
            <v>102.64353553930961</v>
          </cell>
          <cell r="J121">
            <v>1093.035218641046</v>
          </cell>
          <cell r="L121">
            <v>3.0196081386973828</v>
          </cell>
          <cell r="M121">
            <v>3.3005380420913752</v>
          </cell>
        </row>
        <row r="122">
          <cell r="A122">
            <v>140</v>
          </cell>
          <cell r="I122">
            <v>103.73532831369133</v>
          </cell>
          <cell r="J122">
            <v>1091.7927743817193</v>
          </cell>
          <cell r="L122">
            <v>3.0330660895146182</v>
          </cell>
          <cell r="M122">
            <v>3.3114796407542775</v>
          </cell>
        </row>
        <row r="123">
          <cell r="A123">
            <v>141</v>
          </cell>
          <cell r="I123">
            <v>104.82577906361227</v>
          </cell>
          <cell r="J123">
            <v>1090.4507499209449</v>
          </cell>
          <cell r="L123">
            <v>3.0465837710679451</v>
          </cell>
          <cell r="M123">
            <v>3.3221495578580207</v>
          </cell>
        </row>
        <row r="124">
          <cell r="A124">
            <v>142</v>
          </cell>
          <cell r="I124">
            <v>105.91479015469183</v>
          </cell>
          <cell r="J124">
            <v>1089.0110910795511</v>
          </cell>
          <cell r="L124">
            <v>3.0601656353259319</v>
          </cell>
          <cell r="M124">
            <v>3.3325543174104411</v>
          </cell>
        </row>
        <row r="125">
          <cell r="A125">
            <v>143</v>
          </cell>
          <cell r="I125">
            <v>107.0022658931876</v>
          </cell>
          <cell r="J125">
            <v>1087.4757384957666</v>
          </cell>
          <cell r="L125">
            <v>3.0738160317204151</v>
          </cell>
          <cell r="M125">
            <v>3.3427003590952848</v>
          </cell>
        </row>
        <row r="126">
          <cell r="A126">
            <v>144</v>
          </cell>
          <cell r="I126">
            <v>108.0881125198667</v>
          </cell>
          <cell r="J126">
            <v>1085.8466266790983</v>
          </cell>
          <cell r="L126">
            <v>3.0875392076356296</v>
          </cell>
          <cell r="M126">
            <v>3.3525940333506044</v>
          </cell>
        </row>
        <row r="127">
          <cell r="A127">
            <v>145</v>
          </cell>
          <cell r="I127">
            <v>109.17223820296418</v>
          </cell>
          <cell r="J127">
            <v>1084.1256830974851</v>
          </cell>
          <cell r="L127">
            <v>3.1013393090802635</v>
          </cell>
          <cell r="M127">
            <v>3.3622415969737229</v>
          </cell>
        </row>
        <row r="128">
          <cell r="A128">
            <v>146</v>
          </cell>
          <cell r="I128">
            <v>110.25455303026199</v>
          </cell>
          <cell r="J128">
            <v>1082.3148272978015</v>
          </cell>
          <cell r="L128">
            <v>3.1152203815282191</v>
          </cell>
          <cell r="M128">
            <v>3.3716492092283055</v>
          </cell>
        </row>
        <row r="129">
          <cell r="A129">
            <v>147</v>
          </cell>
          <cell r="I129">
            <v>111.33496900032156</v>
          </cell>
          <cell r="J129">
            <v>1080.4159700595746</v>
          </cell>
          <cell r="L129">
            <v>3.1291863709128052</v>
          </cell>
          <cell r="M129">
            <v>3.3808229284269582</v>
          </cell>
        </row>
        <row r="130">
          <cell r="A130">
            <v>148</v>
          </cell>
          <cell r="I130">
            <v>112.41340001290301</v>
          </cell>
          <cell r="J130">
            <v>1078.431012581442</v>
          </cell>
          <cell r="L130">
            <v>3.1432411247630276</v>
          </cell>
          <cell r="M130">
            <v>3.3897687089658226</v>
          </cell>
        </row>
        <row r="131">
          <cell r="A131">
            <v>149</v>
          </cell>
          <cell r="I131">
            <v>113.48976185860258</v>
          </cell>
          <cell r="J131">
            <v>1076.3618456995687</v>
          </cell>
          <cell r="L131">
            <v>3.1573883934698541</v>
          </cell>
          <cell r="M131">
            <v>3.3984923987856086</v>
          </cell>
        </row>
        <row r="132">
          <cell r="A132">
            <v>150</v>
          </cell>
          <cell r="I132">
            <v>114.56397220774132</v>
          </cell>
          <cell r="J132">
            <v>1074.2103491387415</v>
          </cell>
          <cell r="L132">
            <v>3.1716318316680652</v>
          </cell>
          <cell r="M132">
            <v>3.4069997372356986</v>
          </cell>
        </row>
        <row r="133">
          <cell r="A133">
            <v>151</v>
          </cell>
          <cell r="I133">
            <v>115.63595059853606</v>
          </cell>
          <cell r="J133">
            <v>1071.9783907947337</v>
          </cell>
          <cell r="L133">
            <v>3.1859749997236944</v>
          </cell>
          <cell r="M133">
            <v>3.4152963533160583</v>
          </cell>
        </row>
        <row r="134">
          <cell r="A134">
            <v>152</v>
          </cell>
          <cell r="I134">
            <v>116.70561842458424</v>
          </cell>
          <cell r="J134">
            <v>1069.667826048189</v>
          </cell>
          <cell r="L134">
            <v>3.2004213653158424</v>
          </cell>
          <cell r="M134">
            <v>3.4233877642755743</v>
          </cell>
        </row>
        <row r="135">
          <cell r="A135">
            <v>153</v>
          </cell>
          <cell r="I135">
            <v>117.77289892169298</v>
          </cell>
          <cell r="J135">
            <v>1067.2804971087405</v>
          </cell>
          <cell r="L135">
            <v>3.2149743051028334</v>
          </cell>
          <cell r="M135">
            <v>3.4312793745419801</v>
          </cell>
        </row>
        <row r="136">
          <cell r="A136">
            <v>154</v>
          </cell>
          <cell r="I136">
            <v>118.83771715408352</v>
          </cell>
          <cell r="J136">
            <v>1064.8182323905392</v>
          </cell>
          <cell r="L136">
            <v>3.2296371064597627</v>
          </cell>
          <cell r="M136">
            <v>3.43897647496338</v>
          </cell>
        </row>
        <row r="137">
          <cell r="A137">
            <v>155</v>
          </cell>
          <cell r="I137">
            <v>119.90000000000005</v>
          </cell>
          <cell r="J137">
            <v>1062.2828459165298</v>
          </cell>
          <cell r="L137">
            <v>3.2444129692827022</v>
          </cell>
          <cell r="M137">
            <v>3.4464842423381281</v>
          </cell>
        </row>
        <row r="138">
          <cell r="A138">
            <v>156</v>
          </cell>
          <cell r="I138">
            <v>120.95967613675315</v>
          </cell>
          <cell r="J138">
            <v>1059.676136753103</v>
          </cell>
          <cell r="L138">
            <v>3.259305007845096</v>
          </cell>
          <cell r="M138">
            <v>3.4538077392133339</v>
          </cell>
        </row>
        <row r="139">
          <cell r="A139">
            <v>157</v>
          </cell>
          <cell r="I139">
            <v>122.01667602522583</v>
          </cell>
          <cell r="J139">
            <v>1056.9998884726945</v>
          </cell>
          <cell r="L139">
            <v>3.2743162527033811</v>
          </cell>
          <cell r="M139">
            <v>3.460951913931805</v>
          </cell>
        </row>
        <row r="140">
          <cell r="A140">
            <v>158</v>
          </cell>
          <cell r="I140">
            <v>123.07093189387166</v>
          </cell>
          <cell r="J140">
            <v>1054.2558686458203</v>
          </cell>
          <cell r="L140">
            <v>3.2894496526384076</v>
          </cell>
          <cell r="M140">
            <v>3.4679216009089964</v>
          </cell>
        </row>
        <row r="141">
          <cell r="A141">
            <v>159</v>
          </cell>
          <cell r="I141">
            <v>124.12237772223152</v>
          </cell>
          <cell r="J141">
            <v>1051.4458283598549</v>
          </cell>
          <cell r="L141">
            <v>3.304708076629129</v>
          </cell>
          <cell r="M141">
            <v>3.4747215211188176</v>
          </cell>
        </row>
        <row r="142">
          <cell r="A142">
            <v>160</v>
          </cell>
          <cell r="I142">
            <v>125.17094922399743</v>
          </cell>
          <cell r="J142">
            <v>1048.5715017659118</v>
          </cell>
          <cell r="L142">
            <v>3.3200943158502096</v>
          </cell>
          <cell r="M142">
            <v>3.481356282775522</v>
          </cell>
        </row>
        <row r="143">
          <cell r="A143">
            <v>161</v>
          </cell>
          <cell r="I143">
            <v>126.21658382964939</v>
          </cell>
          <cell r="J143">
            <v>1045.6346056519667</v>
          </cell>
          <cell r="L143">
            <v>3.3356110856853829</v>
          </cell>
          <cell r="M143">
            <v>3.4878303821889642</v>
          </cell>
        </row>
        <row r="144">
          <cell r="A144">
            <v>162</v>
          </cell>
          <cell r="I144">
            <v>127.25922066869171</v>
          </cell>
          <cell r="J144">
            <v>1042.6368390423129</v>
          </cell>
          <cell r="L144">
            <v>3.3512610277536345</v>
          </cell>
          <cell r="M144">
            <v>3.4941482047827424</v>
          </cell>
        </row>
        <row r="145">
          <cell r="A145">
            <v>163</v>
          </cell>
          <cell r="I145">
            <v>128.29880055151429</v>
          </cell>
          <cell r="J145">
            <v>1039.5798828225682</v>
          </cell>
          <cell r="L145">
            <v>3.3670467119393788</v>
          </cell>
          <cell r="M145">
            <v>3.5003140262560528</v>
          </cell>
        </row>
        <row r="146">
          <cell r="A146">
            <v>164</v>
          </cell>
          <cell r="I146">
            <v>129.33526595090373</v>
          </cell>
          <cell r="J146">
            <v>1036.4653993894503</v>
          </cell>
          <cell r="L146">
            <v>3.3829706384233975</v>
          </cell>
          <cell r="M146">
            <v>3.5063320138762903</v>
          </cell>
        </row>
        <row r="147">
          <cell r="A147">
            <v>165</v>
          </cell>
          <cell r="I147">
            <v>130.36856098322909</v>
          </cell>
          <cell r="J147">
            <v>1033.2950323253667</v>
          </cell>
          <cell r="L147">
            <v>3.3990352397086112</v>
          </cell>
          <cell r="M147">
            <v>3.5122062278897697</v>
          </cell>
        </row>
        <row r="148">
          <cell r="A148">
            <v>166</v>
          </cell>
          <cell r="I148">
            <v>131.39863138932537</v>
          </cell>
          <cell r="J148">
            <v>1030.0704060962823</v>
          </cell>
          <cell r="L148">
            <v>3.4152428826370378</v>
          </cell>
          <cell r="M148">
            <v>3.517940623035372</v>
          </cell>
        </row>
        <row r="149">
          <cell r="A149">
            <v>167</v>
          </cell>
          <cell r="I149">
            <v>132.42542451509846</v>
          </cell>
          <cell r="J149">
            <v>1026.7931257730725</v>
          </cell>
          <cell r="L149">
            <v>3.4315958703927771</v>
          </cell>
          <cell r="M149">
            <v>3.5235390501505672</v>
          </cell>
        </row>
        <row r="150">
          <cell r="A150">
            <v>168</v>
          </cell>
          <cell r="I150">
            <v>133.44888929187385</v>
          </cell>
          <cell r="J150">
            <v>1023.4647767754021</v>
          </cell>
          <cell r="L150">
            <v>3.4480964444887912</v>
          </cell>
          <cell r="M150">
            <v>3.5290052578587785</v>
          </cell>
        </row>
        <row r="151">
          <cell r="A151">
            <v>169</v>
          </cell>
          <cell r="I151">
            <v>134.46897621651149</v>
          </cell>
          <cell r="J151">
            <v>1020.0869246376311</v>
          </cell>
          <cell r="L151">
            <v>3.4647467867317974</v>
          </cell>
          <cell r="M151">
            <v>3.5343428943253534</v>
          </cell>
        </row>
        <row r="152">
          <cell r="A152">
            <v>170</v>
          </cell>
          <cell r="I152">
            <v>135.48563733130732</v>
          </cell>
          <cell r="J152">
            <v>1016.6611147958221</v>
          </cell>
          <cell r="L152">
            <v>3.4815490211656153</v>
          </cell>
          <cell r="M152">
            <v>3.5395555090745372</v>
          </cell>
        </row>
        <row r="153">
          <cell r="A153">
            <v>171</v>
          </cell>
          <cell r="I153">
            <v>136.49882620370312</v>
          </cell>
          <cell r="J153">
            <v>1013.1888723958024</v>
          </cell>
          <cell r="L153">
            <v>3.4985052159866741</v>
          </cell>
          <cell r="M153">
            <v>3.5446465548563717</v>
          </cell>
        </row>
        <row r="154">
          <cell r="A154">
            <v>172</v>
          </cell>
          <cell r="I154">
            <v>137.50849790582456</v>
          </cell>
          <cell r="J154">
            <v>1009.6717021214355</v>
          </cell>
          <cell r="L154">
            <v>3.5156173854307697</v>
          </cell>
          <cell r="M154">
            <v>3.5496193895555956</v>
          </cell>
        </row>
        <row r="155">
          <cell r="A155">
            <v>173</v>
          </cell>
          <cell r="I155">
            <v>138.51460899386652</v>
          </cell>
          <cell r="J155">
            <v>1006.1110880419578</v>
          </cell>
          <cell r="L155">
            <v>3.5328874916307518</v>
          </cell>
          <cell r="M155">
            <v>3.5544772781344394</v>
          </cell>
        </row>
        <row r="156">
          <cell r="A156">
            <v>174</v>
          </cell>
          <cell r="I156">
            <v>139.51711748734536</v>
          </cell>
          <cell r="J156">
            <v>1002.5084934788342</v>
          </cell>
          <cell r="L156">
            <v>3.5503174464390983</v>
          </cell>
          <cell r="M156">
            <v>3.5592233946012821</v>
          </cell>
        </row>
        <row r="157">
          <cell r="A157">
            <v>175</v>
          </cell>
          <cell r="I157">
            <v>140.51598284823612</v>
          </cell>
          <cell r="J157">
            <v>998.8653608907714</v>
          </cell>
          <cell r="L157">
            <v>3.5679091132170897</v>
          </cell>
          <cell r="M157">
            <v>3.5638608239990601</v>
          </cell>
        </row>
        <row r="158">
          <cell r="A158">
            <v>176</v>
          </cell>
          <cell r="I158">
            <v>141.51116596001242</v>
          </cell>
          <cell r="J158">
            <v>995.18311177630756</v>
          </cell>
          <cell r="L158">
            <v>3.5856643085885476</v>
          </cell>
          <cell r="M158">
            <v>3.5683925644063934</v>
          </cell>
        </row>
        <row r="159">
          <cell r="A159">
            <v>177</v>
          </cell>
          <cell r="I159">
            <v>142.50262910660632</v>
          </cell>
          <cell r="J159">
            <v>991.46314659390134</v>
          </cell>
          <cell r="L159">
            <v>3.6035848041556924</v>
          </cell>
          <cell r="M159">
            <v>3.5728215289461707</v>
          </cell>
        </row>
        <row r="160">
          <cell r="A160">
            <v>178</v>
          </cell>
          <cell r="I160">
            <v>143.49033595130464</v>
          </cell>
          <cell r="J160">
            <v>987.70684469831224</v>
          </cell>
          <cell r="L160">
            <v>3.6216723281769134</v>
          </cell>
          <cell r="M160">
            <v>3.5771505477948096</v>
          </cell>
        </row>
        <row r="161">
          <cell r="A161">
            <v>179</v>
          </cell>
          <cell r="I161">
            <v>144.47425151559796</v>
          </cell>
          <cell r="J161">
            <v>983.91556429332184</v>
          </cell>
          <cell r="L161">
            <v>3.6399285672058204</v>
          </cell>
          <cell r="M161">
            <v>3.5813823701896972</v>
          </cell>
        </row>
        <row r="162">
          <cell r="A162">
            <v>180</v>
          </cell>
          <cell r="I162">
            <v>145.45434215799762</v>
          </cell>
          <cell r="J162">
            <v>980.09064239966551</v>
          </cell>
          <cell r="L162">
            <v>3.658355167690631</v>
          </cell>
          <cell r="M162">
            <v>3.5855196664280462</v>
          </cell>
        </row>
        <row r="163">
          <cell r="A163">
            <v>181</v>
          </cell>
          <cell r="I163">
            <v>146.43057555283542</v>
          </cell>
          <cell r="J163">
            <v>976.23339483780023</v>
          </cell>
          <cell r="L163">
            <v>3.676953737533367</v>
          </cell>
          <cell r="M163">
            <v>3.5895650298537367</v>
          </cell>
        </row>
        <row r="164">
          <cell r="A164">
            <v>182</v>
          </cell>
          <cell r="I164">
            <v>147.40292066906113</v>
          </cell>
          <cell r="J164">
            <v>972.34511622571108</v>
          </cell>
          <cell r="L164">
            <v>3.6957258476080459</v>
          </cell>
          <cell r="M164">
            <v>3.59352097883081</v>
          </cell>
        </row>
        <row r="165">
          <cell r="A165">
            <v>183</v>
          </cell>
          <cell r="I165">
            <v>148.37134774905016</v>
          </cell>
          <cell r="J165">
            <v>968.42707998903165</v>
          </cell>
          <cell r="L165">
            <v>3.7146730332394191</v>
          </cell>
          <cell r="M165">
            <v>3.5973899586940496</v>
          </cell>
        </row>
        <row r="166">
          <cell r="A166">
            <v>184</v>
          </cell>
          <cell r="I166">
            <v>149.33582828743644</v>
          </cell>
          <cell r="J166">
            <v>964.48053838629687</v>
          </cell>
          <cell r="L166">
            <v>3.733796795639682</v>
          </cell>
          <cell r="M166">
            <v>3.6011743436835908</v>
          </cell>
        </row>
        <row r="167">
          <cell r="A167">
            <v>185</v>
          </cell>
          <cell r="I167">
            <v>150.29633500998176</v>
          </cell>
          <cell r="J167">
            <v>960.50672254531992</v>
          </cell>
          <cell r="L167">
            <v>3.7530986033049221</v>
          </cell>
          <cell r="M167">
            <v>3.6048764388498284</v>
          </cell>
        </row>
        <row r="168">
          <cell r="A168">
            <v>186</v>
          </cell>
          <cell r="I168">
            <v>151.25284185249453</v>
          </cell>
          <cell r="J168">
            <v>956.506842512758</v>
          </cell>
          <cell r="L168">
            <v>3.7725798933709709</v>
          </cell>
          <cell r="M168">
            <v>3.6084984819353845</v>
          </cell>
        </row>
        <row r="169">
          <cell r="A169">
            <v>187</v>
          </cell>
          <cell r="I169">
            <v>152.20532393980949</v>
          </cell>
          <cell r="J169">
            <v>952.4820873149589</v>
          </cell>
          <cell r="L169">
            <v>3.7922420729287309</v>
          </cell>
          <cell r="M169">
            <v>3.6120426452267638</v>
          </cell>
        </row>
        <row r="170">
          <cell r="A170">
            <v>188</v>
          </cell>
          <cell r="I170">
            <v>153.15375756483948</v>
          </cell>
          <cell r="J170">
            <v>948.4336250299923</v>
          </cell>
          <cell r="L170">
            <v>3.8120865202999457</v>
          </cell>
          <cell r="M170">
            <v>3.6155110373760468</v>
          </cell>
        </row>
        <row r="171">
          <cell r="A171">
            <v>189</v>
          </cell>
          <cell r="I171">
            <v>154.09812016771011</v>
          </cell>
          <cell r="J171">
            <v>944.36260287061612</v>
          </cell>
          <cell r="L171">
            <v>3.8321145862722479</v>
          </cell>
          <cell r="M171">
            <v>3.6189057051905142</v>
          </cell>
        </row>
        <row r="172">
          <cell r="A172">
            <v>190</v>
          </cell>
          <cell r="I172">
            <v>155.03839031498748</v>
          </cell>
          <cell r="J172">
            <v>940.27014727736253</v>
          </cell>
          <cell r="L172">
            <v>3.8523275952957299</v>
          </cell>
          <cell r="M172">
            <v>3.622228635389364</v>
          </cell>
        </row>
        <row r="173">
          <cell r="A173">
            <v>191</v>
          </cell>
          <cell r="I173">
            <v>155.97454767900859</v>
          </cell>
          <cell r="J173">
            <v>936.15736402111827</v>
          </cell>
          <cell r="L173">
            <v>3.8727268466409179</v>
          </cell>
          <cell r="M173">
            <v>3.6254817563251791</v>
          </cell>
        </row>
        <row r="174">
          <cell r="A174">
            <v>192</v>
          </cell>
          <cell r="I174">
            <v>156.90657301732395</v>
          </cell>
          <cell r="J174">
            <v>932.02533831535402</v>
          </cell>
          <cell r="L174">
            <v>3.8933136155184904</v>
          </cell>
          <cell r="M174">
            <v>3.6286669396713953</v>
          </cell>
        </row>
        <row r="175">
          <cell r="A175">
            <v>193</v>
          </cell>
          <cell r="I175">
            <v>157.83444815226105</v>
          </cell>
          <cell r="J175">
            <v>927.87513493709639</v>
          </cell>
          <cell r="L175">
            <v>3.9140891541605138</v>
          </cell>
          <cell r="M175">
            <v>3.6317860020725123</v>
          </cell>
        </row>
        <row r="176">
          <cell r="A176">
            <v>194</v>
          </cell>
          <cell r="I176">
            <v>158.75815595061712</v>
          </cell>
          <cell r="J176">
            <v>923.70779835607675</v>
          </cell>
          <cell r="L176">
            <v>3.9350546928671291</v>
          </cell>
          <cell r="M176">
            <v>3.6348407067590434</v>
          </cell>
        </row>
        <row r="177">
          <cell r="A177">
            <v>195</v>
          </cell>
          <cell r="I177">
            <v>159.67768030348932</v>
          </cell>
          <cell r="J177">
            <v>919.52435287221465</v>
          </cell>
          <cell r="L177">
            <v>3.9562114410141223</v>
          </cell>
          <cell r="M177">
            <v>3.6378327651241626</v>
          </cell>
        </row>
        <row r="178">
          <cell r="A178">
            <v>196</v>
          </cell>
          <cell r="I178">
            <v>160.59300610624945</v>
          </cell>
          <cell r="J178">
            <v>915.32580276011913</v>
          </cell>
          <cell r="L178">
            <v>3.9775605880287994</v>
          </cell>
          <cell r="M178">
            <v>3.6407638382644723</v>
          </cell>
        </row>
        <row r="179">
          <cell r="A179">
            <v>197</v>
          </cell>
          <cell r="I179">
            <v>161.5041192386708</v>
          </cell>
          <cell r="J179">
            <v>911.11313242136077</v>
          </cell>
          <cell r="L179">
            <v>3.9991033043266411</v>
          </cell>
          <cell r="M179">
            <v>3.6436355384816608</v>
          </cell>
        </row>
        <row r="180">
          <cell r="A180">
            <v>198</v>
          </cell>
          <cell r="I180">
            <v>162.41100654521375</v>
          </cell>
          <cell r="J180">
            <v>906.88730654294716</v>
          </cell>
          <cell r="L180">
            <v>4.0208407422193924</v>
          </cell>
          <cell r="M180">
            <v>3.646449430749489</v>
          </cell>
        </row>
        <row r="181">
          <cell r="A181">
            <v>199</v>
          </cell>
          <cell r="I181">
            <v>163.31365581547607</v>
          </cell>
          <cell r="J181">
            <v>902.6492702623151</v>
          </cell>
          <cell r="L181">
            <v>4.0427740367851559</v>
          </cell>
          <cell r="M181">
            <v>3.6492070341395553</v>
          </cell>
        </row>
        <row r="182">
          <cell r="A182">
            <v>200</v>
          </cell>
          <cell r="I182">
            <v>164.21205576481455</v>
          </cell>
          <cell r="J182">
            <v>898.39994933849584</v>
          </cell>
          <cell r="L182">
            <v>4.0649043067101145</v>
          </cell>
          <cell r="M182">
            <v>3.6519098232142002</v>
          </cell>
        </row>
        <row r="183">
          <cell r="A183">
            <v>201</v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</row>
        <row r="184">
          <cell r="A184">
            <v>202</v>
          </cell>
          <cell r="I184" t="str">
            <v/>
          </cell>
          <cell r="J184" t="str">
            <v/>
          </cell>
          <cell r="L184" t="str">
            <v/>
          </cell>
          <cell r="M184" t="str">
            <v/>
          </cell>
        </row>
        <row r="185">
          <cell r="A185">
            <v>203</v>
          </cell>
          <cell r="I185" t="str">
            <v/>
          </cell>
          <cell r="J185" t="str">
            <v/>
          </cell>
          <cell r="L185" t="str">
            <v/>
          </cell>
          <cell r="M185" t="str">
            <v/>
          </cell>
        </row>
      </sheetData>
      <sheetData sheetId="20">
        <row r="3">
          <cell r="A3">
            <v>21</v>
          </cell>
          <cell r="I3">
            <v>5.9425449780322959</v>
          </cell>
        </row>
        <row r="4">
          <cell r="A4">
            <v>22</v>
          </cell>
          <cell r="I4">
            <v>6.0312043586488446</v>
          </cell>
          <cell r="J4">
            <v>88.659380616548404</v>
          </cell>
          <cell r="L4">
            <v>1.1226170324781388</v>
          </cell>
          <cell r="M4">
            <v>9.9530530769099387E-2</v>
          </cell>
        </row>
        <row r="5">
          <cell r="A5">
            <v>23</v>
          </cell>
          <cell r="I5">
            <v>6.1457977658647787</v>
          </cell>
          <cell r="J5">
            <v>114.59340721593419</v>
          </cell>
          <cell r="L5">
            <v>1.1335162269682073</v>
          </cell>
          <cell r="M5">
            <v>0.12989348658283709</v>
          </cell>
        </row>
        <row r="6">
          <cell r="A6">
            <v>24</v>
          </cell>
          <cell r="I6">
            <v>6.2857077228563014</v>
          </cell>
          <cell r="J6">
            <v>139.90995699152279</v>
          </cell>
          <cell r="L6">
            <v>1.1444154214582969</v>
          </cell>
          <cell r="M6">
            <v>0.16011511239666573</v>
          </cell>
        </row>
        <row r="7">
          <cell r="A7">
            <v>25</v>
          </cell>
          <cell r="I7">
            <v>6.4503167527996208</v>
          </cell>
          <cell r="J7">
            <v>164.60902994331906</v>
          </cell>
          <cell r="L7">
            <v>1.1553146159483647</v>
          </cell>
          <cell r="M7">
            <v>0.19017521821059849</v>
          </cell>
        </row>
        <row r="8">
          <cell r="A8">
            <v>26</v>
          </cell>
          <cell r="I8">
            <v>6.6390073788709403</v>
          </cell>
          <cell r="J8">
            <v>188.69062607131909</v>
          </cell>
          <cell r="L8">
            <v>1.1771130049285334</v>
          </cell>
          <cell r="M8">
            <v>0.2221101898566567</v>
          </cell>
        </row>
        <row r="9">
          <cell r="A9">
            <v>27</v>
          </cell>
          <cell r="I9">
            <v>6.8511621242464651</v>
          </cell>
          <cell r="J9">
            <v>212.1547453755249</v>
          </cell>
          <cell r="L9">
            <v>1.1926239359569688</v>
          </cell>
          <cell r="M9">
            <v>0.25302082746170701</v>
          </cell>
        </row>
        <row r="10">
          <cell r="A10">
            <v>28</v>
          </cell>
          <cell r="I10">
            <v>7.0861635121023996</v>
          </cell>
          <cell r="J10">
            <v>235.00138785593444</v>
          </cell>
          <cell r="L10">
            <v>1.2082118648627664</v>
          </cell>
          <cell r="M10">
            <v>0.28393146506675682</v>
          </cell>
        </row>
        <row r="11">
          <cell r="A11">
            <v>29</v>
          </cell>
          <cell r="I11">
            <v>7.3433940656149517</v>
          </cell>
          <cell r="J11">
            <v>257.23055351255169</v>
          </cell>
          <cell r="L11">
            <v>1.2239685308473551</v>
          </cell>
          <cell r="M11">
            <v>0.31484210267180984</v>
          </cell>
        </row>
        <row r="12">
          <cell r="A12">
            <v>30</v>
          </cell>
          <cell r="I12">
            <v>7.622236307960323</v>
          </cell>
          <cell r="J12">
            <v>278.84224234537174</v>
          </cell>
          <cell r="L12">
            <v>1.2399582551362989</v>
          </cell>
          <cell r="M12">
            <v>0.34575274027686009</v>
          </cell>
        </row>
        <row r="13">
          <cell r="A13">
            <v>31</v>
          </cell>
          <cell r="I13">
            <v>7.9220727623147207</v>
          </cell>
          <cell r="J13">
            <v>299.83645435439746</v>
          </cell>
          <cell r="L13">
            <v>1.2562294291164027</v>
          </cell>
          <cell r="M13">
            <v>0.37666337788191112</v>
          </cell>
        </row>
        <row r="14">
          <cell r="A14">
            <v>32</v>
          </cell>
          <cell r="I14">
            <v>8.2422859518543508</v>
          </cell>
          <cell r="J14">
            <v>320.21318953962992</v>
          </cell>
          <cell r="L14">
            <v>1.2728208231301508</v>
          </cell>
          <cell r="M14">
            <v>0.40757401548696276</v>
          </cell>
        </row>
        <row r="15">
          <cell r="A15">
            <v>33</v>
          </cell>
          <cell r="I15">
            <v>8.5822583997554158</v>
          </cell>
          <cell r="J15">
            <v>339.97244790106521</v>
          </cell>
          <cell r="L15">
            <v>1.289765261270865</v>
          </cell>
          <cell r="M15">
            <v>0.43848465309201295</v>
          </cell>
        </row>
        <row r="16">
          <cell r="A16">
            <v>34</v>
          </cell>
          <cell r="I16">
            <v>8.9413726291941238</v>
          </cell>
          <cell r="J16">
            <v>359.11422943870821</v>
          </cell>
          <cell r="L16">
            <v>1.3070918727746501</v>
          </cell>
          <cell r="M16">
            <v>0.46939529069706648</v>
          </cell>
        </row>
        <row r="17">
          <cell r="A17">
            <v>35</v>
          </cell>
          <cell r="I17">
            <v>9.3190111633466763</v>
          </cell>
          <cell r="J17">
            <v>377.63853415255193</v>
          </cell>
          <cell r="L17">
            <v>1.3248275349464416</v>
          </cell>
          <cell r="M17">
            <v>0.50030592830211296</v>
          </cell>
        </row>
        <row r="18">
          <cell r="A18">
            <v>36</v>
          </cell>
          <cell r="I18">
            <v>9.7145565253892805</v>
          </cell>
          <cell r="J18">
            <v>395.54536204260438</v>
          </cell>
          <cell r="L18">
            <v>1.34299783762842</v>
          </cell>
          <cell r="M18">
            <v>0.53121656590716815</v>
          </cell>
        </row>
        <row r="19">
          <cell r="A19">
            <v>37</v>
          </cell>
          <cell r="I19">
            <v>10.127391238498141</v>
          </cell>
          <cell r="J19">
            <v>412.83471310886159</v>
          </cell>
          <cell r="L19">
            <v>1.3616277547958766</v>
          </cell>
          <cell r="M19">
            <v>0.56212720351221901</v>
          </cell>
        </row>
        <row r="20">
          <cell r="A20">
            <v>38</v>
          </cell>
          <cell r="I20">
            <v>10.556897825849465</v>
          </cell>
          <cell r="J20">
            <v>429.50658735132356</v>
          </cell>
          <cell r="L20">
            <v>1.3807421319761526</v>
          </cell>
          <cell r="M20">
            <v>0.59303784111726809</v>
          </cell>
        </row>
        <row r="21">
          <cell r="A21">
            <v>39</v>
          </cell>
          <cell r="I21">
            <v>11.002458810619455</v>
          </cell>
          <cell r="J21">
            <v>445.56098476999023</v>
          </cell>
          <cell r="L21">
            <v>1.4003660554893929</v>
          </cell>
          <cell r="M21">
            <v>0.62394847872232062</v>
          </cell>
        </row>
        <row r="22">
          <cell r="A22">
            <v>40</v>
          </cell>
          <cell r="I22">
            <v>11.463456715984316</v>
          </cell>
          <cell r="J22">
            <v>460.99790536486171</v>
          </cell>
          <cell r="L22">
            <v>1.4205251449224676</v>
          </cell>
          <cell r="M22">
            <v>0.65485911632737415</v>
          </cell>
        </row>
        <row r="23">
          <cell r="A23">
            <v>41</v>
          </cell>
          <cell r="I23">
            <v>11.939274065120255</v>
          </cell>
          <cell r="J23">
            <v>475.81734913593982</v>
          </cell>
          <cell r="L23">
            <v>1.4282531472328754</v>
          </cell>
          <cell r="M23">
            <v>0.67958762641141002</v>
          </cell>
        </row>
        <row r="24">
          <cell r="A24">
            <v>42</v>
          </cell>
          <cell r="I24">
            <v>12.429293381203475</v>
          </cell>
          <cell r="J24">
            <v>490.01931608322076</v>
          </cell>
          <cell r="L24">
            <v>1.4373232102871576</v>
          </cell>
          <cell r="M24">
            <v>0.70431613649545222</v>
          </cell>
        </row>
        <row r="25">
          <cell r="A25">
            <v>43</v>
          </cell>
          <cell r="I25">
            <v>12.93028505171282</v>
          </cell>
          <cell r="J25">
            <v>500.99167050934449</v>
          </cell>
          <cell r="L25">
            <v>1.4552031291025174</v>
          </cell>
          <cell r="M25">
            <v>0.72904464657949553</v>
          </cell>
        </row>
        <row r="26">
          <cell r="A26">
            <v>44</v>
          </cell>
          <cell r="I26">
            <v>13.44249476606848</v>
          </cell>
          <cell r="J26">
            <v>512.20971435566025</v>
          </cell>
          <cell r="L26">
            <v>1.4716104274042321</v>
          </cell>
          <cell r="M26">
            <v>0.75377315666353273</v>
          </cell>
        </row>
        <row r="27">
          <cell r="A27">
            <v>45</v>
          </cell>
          <cell r="I27">
            <v>13.966173715088882</v>
          </cell>
          <cell r="J27">
            <v>523.67894902040234</v>
          </cell>
          <cell r="L27">
            <v>1.4866010333312976</v>
          </cell>
          <cell r="M27">
            <v>0.77850166674757804</v>
          </cell>
        </row>
        <row r="28">
          <cell r="A28">
            <v>46</v>
          </cell>
          <cell r="I28">
            <v>14.501578714176203</v>
          </cell>
          <cell r="J28">
            <v>535.40499908732124</v>
          </cell>
          <cell r="L28">
            <v>1.5002291315935434</v>
          </cell>
          <cell r="M28">
            <v>0.8032301768316138</v>
          </cell>
        </row>
        <row r="29">
          <cell r="A29">
            <v>47</v>
          </cell>
          <cell r="I29">
            <v>15.048972329260261</v>
          </cell>
          <cell r="J29">
            <v>547.39361508405841</v>
          </cell>
          <cell r="L29">
            <v>1.5193234639767439</v>
          </cell>
          <cell r="M29">
            <v>0.83166796342826399</v>
          </cell>
        </row>
        <row r="30">
          <cell r="A30">
            <v>48</v>
          </cell>
          <cell r="I30">
            <v>15.60862300556245</v>
          </cell>
          <cell r="J30">
            <v>559.65067630218937</v>
          </cell>
          <cell r="L30">
            <v>1.5368618076331808</v>
          </cell>
          <cell r="M30">
            <v>0.86010575002491485</v>
          </cell>
        </row>
        <row r="31">
          <cell r="A31">
            <v>49</v>
          </cell>
          <cell r="I31">
            <v>16.180805199242954</v>
          </cell>
          <cell r="J31">
            <v>572.18219368050291</v>
          </cell>
          <cell r="L31">
            <v>1.5529031599289957</v>
          </cell>
          <cell r="M31">
            <v>0.88854353662155761</v>
          </cell>
        </row>
        <row r="32">
          <cell r="A32">
            <v>50</v>
          </cell>
          <cell r="I32">
            <v>16.765799511995745</v>
          </cell>
          <cell r="J32">
            <v>584.99431275278982</v>
          </cell>
          <cell r="L32">
            <v>1.5675046803501234</v>
          </cell>
          <cell r="M32">
            <v>0.91698132321820192</v>
          </cell>
        </row>
        <row r="33">
          <cell r="A33">
            <v>51</v>
          </cell>
          <cell r="I33">
            <v>17.363892828657391</v>
          </cell>
          <cell r="J33">
            <v>598.09331666164519</v>
          </cell>
          <cell r="L33">
            <v>1.5807217427070732</v>
          </cell>
          <cell r="M33">
            <v>0.94541910981484922</v>
          </cell>
        </row>
        <row r="34">
          <cell r="A34">
            <v>52</v>
          </cell>
          <cell r="I34">
            <v>17.975378457897168</v>
          </cell>
          <cell r="J34">
            <v>611.48562923977795</v>
          </cell>
          <cell r="L34">
            <v>1.5926079859345812</v>
          </cell>
          <cell r="M34">
            <v>0.97385689641150275</v>
          </cell>
        </row>
        <row r="35">
          <cell r="A35">
            <v>53</v>
          </cell>
          <cell r="I35">
            <v>18.600556276057425</v>
          </cell>
          <cell r="J35">
            <v>625.17781816025695</v>
          </cell>
          <cell r="L35">
            <v>1.603215363522736</v>
          </cell>
          <cell r="M35">
            <v>1.0022946830081474</v>
          </cell>
        </row>
        <row r="36">
          <cell r="A36">
            <v>54</v>
          </cell>
          <cell r="I36">
            <v>19.239732874214841</v>
          </cell>
          <cell r="J36">
            <v>639.17659815741717</v>
          </cell>
          <cell r="L36">
            <v>1.6125941916148576</v>
          </cell>
          <cell r="M36">
            <v>1.0307324696047948</v>
          </cell>
        </row>
        <row r="37">
          <cell r="A37">
            <v>55</v>
          </cell>
          <cell r="I37">
            <v>19.89322170853454</v>
          </cell>
          <cell r="J37">
            <v>653.48883431970069</v>
          </cell>
          <cell r="L37">
            <v>1.6245772711863371</v>
          </cell>
          <cell r="M37">
            <v>1.0616431072098398</v>
          </cell>
        </row>
        <row r="38">
          <cell r="A38">
            <v>56</v>
          </cell>
          <cell r="I38">
            <v>20.561343253990987</v>
          </cell>
          <cell r="J38">
            <v>668.1215454564466</v>
          </cell>
          <cell r="L38">
            <v>1.6352619553205532</v>
          </cell>
          <cell r="M38">
            <v>1.0925537448148988</v>
          </cell>
        </row>
        <row r="39">
          <cell r="A39">
            <v>57</v>
          </cell>
          <cell r="I39">
            <v>21.244425161530856</v>
          </cell>
          <cell r="J39">
            <v>683.08190753986833</v>
          </cell>
          <cell r="L39">
            <v>1.65374971503695</v>
          </cell>
          <cell r="M39">
            <v>1.1296465099409534</v>
          </cell>
        </row>
        <row r="40">
          <cell r="A40">
            <v>58</v>
          </cell>
          <cell r="I40">
            <v>21.942802418755118</v>
          </cell>
          <cell r="J40">
            <v>698.37725722426308</v>
          </cell>
          <cell r="L40">
            <v>1.6706432848404646</v>
          </cell>
          <cell r="M40">
            <v>1.1667392750670169</v>
          </cell>
        </row>
        <row r="41">
          <cell r="A41">
            <v>59</v>
          </cell>
          <cell r="I41">
            <v>22.65681751419902</v>
          </cell>
          <cell r="J41">
            <v>714.0150954438999</v>
          </cell>
          <cell r="L41">
            <v>1.6860036263584384</v>
          </cell>
          <cell r="M41">
            <v>1.2038320401930815</v>
          </cell>
        </row>
        <row r="42">
          <cell r="A42">
            <v>60</v>
          </cell>
          <cell r="I42">
            <v>23.386411686162123</v>
          </cell>
          <cell r="J42">
            <v>729.5941719631046</v>
          </cell>
          <cell r="L42">
            <v>1.6891428821510732</v>
          </cell>
          <cell r="M42">
            <v>1.2323888024303842</v>
          </cell>
        </row>
        <row r="43">
          <cell r="A43">
            <v>61</v>
          </cell>
          <cell r="I43">
            <v>24.157720482159402</v>
          </cell>
          <cell r="J43">
            <v>771.30879599727928</v>
          </cell>
          <cell r="L43">
            <v>1.7265746879650576</v>
          </cell>
          <cell r="M43">
            <v>1.3317222437737068</v>
          </cell>
        </row>
        <row r="44">
          <cell r="A44">
            <v>62</v>
          </cell>
          <cell r="I44">
            <v>24.940610958849899</v>
          </cell>
          <cell r="J44">
            <v>782.89047669049739</v>
          </cell>
          <cell r="L44">
            <v>1.7494064849236597</v>
          </cell>
          <cell r="M44">
            <v>1.3695936769073314</v>
          </cell>
        </row>
        <row r="45">
          <cell r="A45">
            <v>63</v>
          </cell>
          <cell r="I45">
            <v>25.734930626210435</v>
          </cell>
          <cell r="J45">
            <v>794.31966736053687</v>
          </cell>
          <cell r="L45">
            <v>1.7721275453847876</v>
          </cell>
          <cell r="M45">
            <v>1.4076357623704892</v>
          </cell>
        </row>
        <row r="46">
          <cell r="A46">
            <v>64</v>
          </cell>
          <cell r="I46">
            <v>26.540523845064332</v>
          </cell>
          <cell r="J46">
            <v>805.59321885389659</v>
          </cell>
          <cell r="L46">
            <v>1.7947279632507784</v>
          </cell>
          <cell r="M46">
            <v>1.4458206768822923</v>
          </cell>
        </row>
        <row r="47">
          <cell r="A47">
            <v>65</v>
          </cell>
          <cell r="I47">
            <v>27.357231954388702</v>
          </cell>
          <cell r="J47">
            <v>816.70810932437041</v>
          </cell>
          <cell r="L47">
            <v>1.8171983273564183</v>
          </cell>
          <cell r="M47">
            <v>1.4841206102026687</v>
          </cell>
        </row>
        <row r="48">
          <cell r="A48">
            <v>66</v>
          </cell>
          <cell r="I48">
            <v>28.184893398714486</v>
          </cell>
          <cell r="J48">
            <v>827.66144432578335</v>
          </cell>
          <cell r="L48">
            <v>1.8395297198304357</v>
          </cell>
          <cell r="M48">
            <v>1.5225078247950621</v>
          </cell>
        </row>
        <row r="49">
          <cell r="A49">
            <v>67</v>
          </cell>
          <cell r="I49">
            <v>29.023343855536812</v>
          </cell>
          <cell r="J49">
            <v>838.45045682232421</v>
          </cell>
          <cell r="L49">
            <v>1.8617137150073881</v>
          </cell>
          <cell r="M49">
            <v>1.5609547148203309</v>
          </cell>
        </row>
        <row r="50">
          <cell r="A50">
            <v>68</v>
          </cell>
          <cell r="I50">
            <v>29.872416362651112</v>
          </cell>
          <cell r="J50">
            <v>849.07250711430095</v>
          </cell>
          <cell r="L50">
            <v>1.8837423786738501</v>
          </cell>
          <cell r="M50">
            <v>1.5994338642180628</v>
          </cell>
        </row>
        <row r="51">
          <cell r="A51">
            <v>69</v>
          </cell>
          <cell r="I51">
            <v>30.731941445326861</v>
          </cell>
          <cell r="J51">
            <v>859.52508267574899</v>
          </cell>
          <cell r="L51">
            <v>1.9056082674623489</v>
          </cell>
          <cell r="M51">
            <v>1.6379181036381663</v>
          </cell>
        </row>
        <row r="52">
          <cell r="A52">
            <v>70</v>
          </cell>
          <cell r="I52">
            <v>31.60174724322971</v>
          </cell>
          <cell r="J52">
            <v>869.80579790284935</v>
          </cell>
          <cell r="L52">
            <v>1.9273044282249521</v>
          </cell>
          <cell r="M52">
            <v>1.6763805659938995</v>
          </cell>
        </row>
        <row r="53">
          <cell r="A53">
            <v>71</v>
          </cell>
          <cell r="I53">
            <v>32.481659637001293</v>
          </cell>
          <cell r="J53">
            <v>879.91239377158377</v>
          </cell>
          <cell r="L53">
            <v>1.9488243972440411</v>
          </cell>
          <cell r="M53">
            <v>1.7147947404194683</v>
          </cell>
        </row>
        <row r="54">
          <cell r="A54">
            <v>72</v>
          </cell>
          <cell r="I54">
            <v>33.371502374404294</v>
          </cell>
          <cell r="J54">
            <v>889.84273740300398</v>
          </cell>
          <cell r="L54">
            <v>1.9701621991543974</v>
          </cell>
          <cell r="M54">
            <v>1.7531345244234715</v>
          </cell>
        </row>
        <row r="55">
          <cell r="A55">
            <v>73</v>
          </cell>
          <cell r="I55">
            <v>34.27109719594079</v>
          </cell>
          <cell r="J55">
            <v>899.59482153649594</v>
          </cell>
          <cell r="L55">
            <v>1.9913123454701303</v>
          </cell>
          <cell r="M55">
            <v>1.791374274046623</v>
          </cell>
        </row>
        <row r="56">
          <cell r="A56">
            <v>74</v>
          </cell>
          <cell r="I56">
            <v>35.180263959850777</v>
          </cell>
          <cell r="J56">
            <v>909.16676390998884</v>
          </cell>
          <cell r="L56">
            <v>2.0122698326255914</v>
          </cell>
          <cell r="M56">
            <v>1.8294888518419039</v>
          </cell>
        </row>
        <row r="57">
          <cell r="A57">
            <v>75</v>
          </cell>
          <cell r="I57">
            <v>36.098820766398731</v>
          </cell>
          <cell r="J57">
            <v>918.55680654795128</v>
          </cell>
          <cell r="L57">
            <v>2.033030139454457</v>
          </cell>
          <cell r="M57">
            <v>1.8674536725130217</v>
          </cell>
        </row>
        <row r="58">
          <cell r="A58">
            <v>76</v>
          </cell>
          <cell r="I58">
            <v>37.0265840813558</v>
          </cell>
          <cell r="J58">
            <v>927.76331495707177</v>
          </cell>
          <cell r="L58">
            <v>2.0535892240463349</v>
          </cell>
          <cell r="M58">
            <v>1.9052447460613486</v>
          </cell>
        </row>
        <row r="59">
          <cell r="A59">
            <v>77</v>
          </cell>
          <cell r="I59">
            <v>37.963368858586996</v>
          </cell>
          <cell r="J59">
            <v>936.78477723119738</v>
          </cell>
          <cell r="L59">
            <v>2.0739435199308844</v>
          </cell>
          <cell r="M59">
            <v>1.9428387183085387</v>
          </cell>
        </row>
        <row r="60">
          <cell r="A60">
            <v>78</v>
          </cell>
          <cell r="I60">
            <v>38.908988661652934</v>
          </cell>
          <cell r="J60">
            <v>945.61980306594012</v>
          </cell>
          <cell r="L60">
            <v>2.0940899315541324</v>
          </cell>
          <cell r="M60">
            <v>1.9802129086785865</v>
          </cell>
        </row>
        <row r="61">
          <cell r="A61">
            <v>79</v>
          </cell>
          <cell r="I61">
            <v>39.863255784337632</v>
          </cell>
          <cell r="J61">
            <v>954.26712268469919</v>
          </cell>
          <cell r="L61">
            <v>2.1140258290199005</v>
          </cell>
          <cell r="M61">
            <v>2.0173453451399563</v>
          </cell>
        </row>
        <row r="62">
          <cell r="A62">
            <v>80</v>
          </cell>
          <cell r="I62">
            <v>40.825981370015612</v>
          </cell>
          <cell r="J62">
            <v>962.72558567797989</v>
          </cell>
          <cell r="L62">
            <v>2.1337490420817109</v>
          </cell>
          <cell r="M62">
            <v>2.054214796227944</v>
          </cell>
        </row>
        <row r="63">
          <cell r="A63">
            <v>81</v>
          </cell>
          <cell r="I63">
            <v>41.796975529772723</v>
          </cell>
          <cell r="J63">
            <v>970.99415975711463</v>
          </cell>
          <cell r="L63">
            <v>2.153257853378221</v>
          </cell>
          <cell r="M63">
            <v>2.0908008000813938</v>
          </cell>
        </row>
        <row r="64">
          <cell r="A64">
            <v>82</v>
          </cell>
          <cell r="I64">
            <v>42.77604745919831</v>
          </cell>
          <cell r="J64">
            <v>979.07192942558936</v>
          </cell>
          <cell r="L64">
            <v>2.172550990914401</v>
          </cell>
          <cell r="M64">
            <v>2.1270836904500388</v>
          </cell>
        </row>
        <row r="65">
          <cell r="A65">
            <v>83</v>
          </cell>
          <cell r="I65">
            <v>43.763005553767456</v>
          </cell>
          <cell r="J65">
            <v>986.95809456914344</v>
          </cell>
          <cell r="L65">
            <v>2.1916276197986133</v>
          </cell>
          <cell r="M65">
            <v>2.1630446196415467</v>
          </cell>
        </row>
        <row r="66">
          <cell r="A66">
            <v>84</v>
          </cell>
          <cell r="I66">
            <v>44.7576575227353</v>
          </cell>
          <cell r="J66">
            <v>994.65196896784448</v>
          </cell>
          <cell r="L66">
            <v>2.2062764804792967</v>
          </cell>
          <cell r="M66">
            <v>2.1944772453961785</v>
          </cell>
        </row>
        <row r="67">
          <cell r="A67">
            <v>85</v>
          </cell>
          <cell r="I67">
            <v>45.759810501467783</v>
          </cell>
          <cell r="J67">
            <v>1002.1529787324823</v>
          </cell>
          <cell r="L67">
            <v>2.2307654135731076</v>
          </cell>
          <cell r="M67">
            <v>2.2355682040656877</v>
          </cell>
        </row>
        <row r="68">
          <cell r="A68">
            <v>86</v>
          </cell>
          <cell r="I68">
            <v>46.769271162135865</v>
          </cell>
          <cell r="J68">
            <v>1009.4606606680793</v>
          </cell>
          <cell r="L68">
            <v>2.2548771181662675</v>
          </cell>
          <cell r="M68">
            <v>2.2762097454294556</v>
          </cell>
        </row>
        <row r="69">
          <cell r="A69">
            <v>87</v>
          </cell>
          <cell r="I69">
            <v>47.785845822703358</v>
          </cell>
          <cell r="J69">
            <v>1016.5746605674959</v>
          </cell>
          <cell r="L69">
            <v>2.2786101718934981</v>
          </cell>
          <cell r="M69">
            <v>2.3163773620582764</v>
          </cell>
        </row>
        <row r="70">
          <cell r="A70">
            <v>88</v>
          </cell>
          <cell r="I70">
            <v>48.809340554141265</v>
          </cell>
          <cell r="J70">
            <v>1023.4947314379049</v>
          </cell>
          <cell r="L70">
            <v>2.3019639056377819</v>
          </cell>
          <cell r="M70">
            <v>2.3560479293804919</v>
          </cell>
        </row>
        <row r="71">
          <cell r="A71">
            <v>89</v>
          </cell>
          <cell r="I71">
            <v>49.839561285804827</v>
          </cell>
          <cell r="J71">
            <v>1030.2207316635643</v>
          </cell>
          <cell r="L71">
            <v>2.3249383834349411</v>
          </cell>
          <cell r="M71">
            <v>2.3951997224550494</v>
          </cell>
        </row>
        <row r="72">
          <cell r="A72">
            <v>90</v>
          </cell>
          <cell r="I72">
            <v>50.876313908912685</v>
          </cell>
          <cell r="J72">
            <v>1036.7526231078571</v>
          </cell>
          <cell r="L72">
            <v>2.3475343810453957</v>
          </cell>
          <cell r="M72">
            <v>2.4338124273846935</v>
          </cell>
        </row>
        <row r="73">
          <cell r="A73">
            <v>91</v>
          </cell>
          <cell r="I73">
            <v>51.919404378070588</v>
          </cell>
          <cell r="J73">
            <v>1043.0904691579055</v>
          </cell>
          <cell r="L73">
            <v>2.3697533633085119</v>
          </cell>
          <cell r="M73">
            <v>2.471867147522</v>
          </cell>
        </row>
        <row r="74">
          <cell r="A74">
            <v>92</v>
          </cell>
          <cell r="I74">
            <v>52.968638810785691</v>
          </cell>
          <cell r="J74">
            <v>1049.2344327151006</v>
          </cell>
          <cell r="L74">
            <v>2.3915974603973926</v>
          </cell>
          <cell r="M74">
            <v>2.5093464046429337</v>
          </cell>
        </row>
        <row r="75">
          <cell r="A75">
            <v>93</v>
          </cell>
          <cell r="I75">
            <v>54.023823584920798</v>
          </cell>
          <cell r="J75">
            <v>1055.1847741351091</v>
          </cell>
          <cell r="L75">
            <v>2.4130694430930983</v>
          </cell>
          <cell r="M75">
            <v>2.546234135282524</v>
          </cell>
        </row>
        <row r="76">
          <cell r="A76">
            <v>94</v>
          </cell>
          <cell r="I76">
            <v>55.084765434041167</v>
          </cell>
          <cell r="J76">
            <v>1060.9418491203651</v>
          </cell>
          <cell r="L76">
            <v>2.4341726971992821</v>
          </cell>
          <cell r="M76">
            <v>2.5825156824449129</v>
          </cell>
        </row>
        <row r="77">
          <cell r="A77">
            <v>95</v>
          </cell>
          <cell r="I77">
            <v>56.151271540610004</v>
          </cell>
          <cell r="J77">
            <v>1066.506106568839</v>
          </cell>
          <cell r="L77">
            <v>2.454911197216413</v>
          </cell>
          <cell r="M77">
            <v>2.6181777829155242</v>
          </cell>
        </row>
        <row r="78">
          <cell r="A78">
            <v>96</v>
          </cell>
          <cell r="I78">
            <v>57.223149626992452</v>
          </cell>
          <cell r="J78">
            <v>1071.8780863824443</v>
          </cell>
          <cell r="L78">
            <v>2.4752894793949336</v>
          </cell>
          <cell r="M78">
            <v>2.653208550416438</v>
          </cell>
        </row>
        <row r="79">
          <cell r="A79">
            <v>97</v>
          </cell>
          <cell r="I79">
            <v>58.30020804423097</v>
          </cell>
          <cell r="J79">
            <v>1077.0584172385186</v>
          </cell>
          <cell r="L79">
            <v>2.4953126142849689</v>
          </cell>
          <cell r="M79">
            <v>2.6875974548570789</v>
          </cell>
        </row>
        <row r="80">
          <cell r="A80">
            <v>98</v>
          </cell>
          <cell r="I80">
            <v>59.382255858558715</v>
          </cell>
          <cell r="J80">
            <v>1082.0478143277408</v>
          </cell>
          <cell r="L80">
            <v>2.5149861788982002</v>
          </cell>
          <cell r="M80">
            <v>2.7213352979412742</v>
          </cell>
        </row>
        <row r="81">
          <cell r="A81">
            <v>99</v>
          </cell>
          <cell r="I81">
            <v>60.469102935620889</v>
          </cell>
          <cell r="J81">
            <v>1086.847077062175</v>
          </cell>
          <cell r="L81">
            <v>2.5343162285938963</v>
          </cell>
          <cell r="M81">
            <v>2.7544141853985109</v>
          </cell>
        </row>
        <row r="82">
          <cell r="A82">
            <v>100</v>
          </cell>
          <cell r="I82">
            <v>61.560560022377558</v>
          </cell>
          <cell r="J82">
            <v>1091.4570867566727</v>
          </cell>
          <cell r="L82">
            <v>2.5533092687987944</v>
          </cell>
          <cell r="M82">
            <v>2.7868274961119419</v>
          </cell>
        </row>
        <row r="83">
          <cell r="A83">
            <v>101</v>
          </cell>
          <cell r="I83">
            <v>62.656438826664392</v>
          </cell>
          <cell r="J83">
            <v>1095.8788042868327</v>
          </cell>
          <cell r="L83">
            <v>2.5719722266666856</v>
          </cell>
          <cell r="M83">
            <v>2.8185698484184303</v>
          </cell>
        </row>
        <row r="84">
          <cell r="A84">
            <v>102</v>
          </cell>
          <cell r="I84">
            <v>63.756552094392042</v>
          </cell>
          <cell r="J84">
            <v>1100.113267727651</v>
          </cell>
          <cell r="L84">
            <v>2.590312422777004</v>
          </cell>
          <cell r="M84">
            <v>2.8496370638567385</v>
          </cell>
        </row>
        <row r="85">
          <cell r="A85">
            <v>103</v>
          </cell>
          <cell r="I85">
            <v>64.860713684367099</v>
          </cell>
          <cell r="J85">
            <v>1104.1615899750511</v>
          </cell>
          <cell r="L85">
            <v>2.608337542971551</v>
          </cell>
          <cell r="M85">
            <v>2.880026128639086</v>
          </cell>
        </row>
        <row r="86">
          <cell r="A86">
            <v>104</v>
          </cell>
          <cell r="I86">
            <v>65.968738640721526</v>
          </cell>
          <cell r="J86">
            <v>1108.0249563544314</v>
          </cell>
          <cell r="L86">
            <v>2.6260556104187649</v>
          </cell>
          <cell r="M86">
            <v>2.9097351531185618</v>
          </cell>
        </row>
        <row r="87">
          <cell r="A87">
            <v>105</v>
          </cell>
          <cell r="I87">
            <v>67.080443262940634</v>
          </cell>
          <cell r="J87">
            <v>1111.7046222191107</v>
          </cell>
          <cell r="L87">
            <v>2.6434749579925696</v>
          </cell>
          <cell r="M87">
            <v>2.9387633295208091</v>
          </cell>
        </row>
        <row r="88">
          <cell r="A88">
            <v>106</v>
          </cell>
          <cell r="I88">
            <v>68.195645173482447</v>
          </cell>
          <cell r="J88">
            <v>1115.2019105418171</v>
          </cell>
          <cell r="L88">
            <v>2.6606042010465107</v>
          </cell>
          <cell r="M88">
            <v>2.9671108882026536</v>
          </cell>
        </row>
        <row r="89">
          <cell r="A89">
            <v>107</v>
          </cell>
          <cell r="I89">
            <v>69.314163382984603</v>
          </cell>
          <cell r="J89">
            <v>1118.5182095021596</v>
          </cell>
          <cell r="L89">
            <v>2.6774522106586787</v>
          </cell>
          <cell r="M89">
            <v>2.9947790526935441</v>
          </cell>
        </row>
        <row r="90">
          <cell r="A90">
            <v>108</v>
          </cell>
          <cell r="I90">
            <v>70.435818353058067</v>
          </cell>
          <cell r="J90">
            <v>1121.6549700734711</v>
          </cell>
          <cell r="L90">
            <v>2.6940280874157754</v>
          </cell>
          <cell r="M90">
            <v>3.0217699937674318</v>
          </cell>
        </row>
        <row r="91">
          <cell r="A91">
            <v>109</v>
          </cell>
          <cell r="I91">
            <v>71.560432056669441</v>
          </cell>
          <cell r="J91">
            <v>1124.6137036113762</v>
          </cell>
          <cell r="L91">
            <v>2.7103411358012264</v>
          </cell>
          <cell r="M91">
            <v>3.0480867827836811</v>
          </cell>
        </row>
        <row r="92">
          <cell r="A92">
            <v>110</v>
          </cell>
          <cell r="I92">
            <v>72.687828036116997</v>
          </cell>
          <cell r="J92">
            <v>1127.3959794475604</v>
          </cell>
          <cell r="L92">
            <v>2.726400839243464</v>
          </cell>
          <cell r="M92">
            <v>3.0737333445255355</v>
          </cell>
        </row>
        <row r="93">
          <cell r="A93">
            <v>111</v>
          </cell>
          <cell r="I93">
            <v>73.817831458607799</v>
          </cell>
          <cell r="J93">
            <v>1130.0034224907995</v>
          </cell>
          <cell r="L93">
            <v>2.742216835877771</v>
          </cell>
          <cell r="M93">
            <v>3.0987144097537724</v>
          </cell>
        </row>
        <row r="94">
          <cell r="A94">
            <v>112</v>
          </cell>
          <cell r="I94">
            <v>74.950269169446372</v>
          </cell>
          <cell r="J94">
            <v>1132.4377108385704</v>
          </cell>
          <cell r="L94">
            <v>2.7577988950661307</v>
          </cell>
          <cell r="M94">
            <v>3.1230354676818282</v>
          </cell>
        </row>
        <row r="95">
          <cell r="A95">
            <v>113</v>
          </cell>
          <cell r="I95">
            <v>76.084969742847761</v>
          </cell>
          <cell r="J95">
            <v>1134.7005734013926</v>
          </cell>
          <cell r="L95">
            <v>2.7731568947162804</v>
          </cell>
          <cell r="M95">
            <v>3.1467027185665883</v>
          </cell>
        </row>
        <row r="96">
          <cell r="A96">
            <v>114</v>
          </cell>
          <cell r="I96">
            <v>77.221763530389765</v>
          </cell>
          <cell r="J96">
            <v>1136.7937875420041</v>
          </cell>
          <cell r="L96">
            <v>2.7883007994355693</v>
          </cell>
          <cell r="M96">
            <v>3.1697230265967589</v>
          </cell>
        </row>
        <row r="97">
          <cell r="A97">
            <v>115</v>
          </cell>
          <cell r="I97">
            <v>78.360482707123239</v>
          </cell>
          <cell r="J97">
            <v>1138.7191767334762</v>
          </cell>
          <cell r="L97">
            <v>2.8032406395445286</v>
          </cell>
          <cell r="M97">
            <v>3.1921038732479685</v>
          </cell>
        </row>
        <row r="98">
          <cell r="A98">
            <v>116</v>
          </cell>
          <cell r="I98">
            <v>79.500961315358879</v>
          </cell>
          <cell r="J98">
            <v>1140.4786082356436</v>
          </cell>
          <cell r="L98">
            <v>2.8179864909811587</v>
          </cell>
          <cell r="M98">
            <v>3.2138533112610368</v>
          </cell>
        </row>
        <row r="99">
          <cell r="A99">
            <v>117</v>
          </cell>
          <cell r="I99">
            <v>80.643035306153848</v>
          </cell>
          <cell r="J99">
            <v>1142.0739907949705</v>
          </cell>
          <cell r="L99">
            <v>2.8325484561075331</v>
          </cell>
          <cell r="M99">
            <v>3.2349799193868627</v>
          </cell>
        </row>
        <row r="100">
          <cell r="A100">
            <v>118</v>
          </cell>
          <cell r="I100">
            <v>81.786542578521747</v>
          </cell>
          <cell r="J100">
            <v>1143.5072723678963</v>
          </cell>
          <cell r="L100">
            <v>2.8469366454375691</v>
          </cell>
          <cell r="M100">
            <v>3.2554927580285233</v>
          </cell>
        </row>
        <row r="101">
          <cell r="A101">
            <v>119</v>
          </cell>
          <cell r="I101">
            <v>82.931323016392525</v>
          </cell>
          <cell r="J101">
            <v>1144.7804378707719</v>
          </cell>
          <cell r="L101">
            <v>2.86116116029251</v>
          </cell>
          <cell r="M101">
            <v>3.2754013258985055</v>
          </cell>
        </row>
        <row r="102">
          <cell r="A102">
            <v>120</v>
          </cell>
          <cell r="I102">
            <v>84.077218523350041</v>
          </cell>
          <cell r="J102">
            <v>1145.89550695752</v>
          </cell>
          <cell r="L102">
            <v>2.8752320763907337</v>
          </cell>
          <cell r="M102">
            <v>3.2947155177962824</v>
          </cell>
        </row>
        <row r="103">
          <cell r="A103">
            <v>121</v>
          </cell>
          <cell r="I103">
            <v>85.224073055177485</v>
          </cell>
          <cell r="J103">
            <v>1146.8545318274371</v>
          </cell>
          <cell r="L103">
            <v>2.8891594283710531</v>
          </cell>
          <cell r="M103">
            <v>3.3134455835993095</v>
          </cell>
        </row>
        <row r="104">
          <cell r="A104">
            <v>122</v>
          </cell>
          <cell r="I104">
            <v>86.371732650241555</v>
          </cell>
          <cell r="J104">
            <v>1147.6595950640633</v>
          </cell>
          <cell r="L104">
            <v>2.902953195248164</v>
          </cell>
          <cell r="M104">
            <v>3.3316020885484368</v>
          </cell>
        </row>
        <row r="105">
          <cell r="A105">
            <v>123</v>
          </cell>
          <cell r="I105">
            <v>87.52004545774922</v>
          </cell>
          <cell r="J105">
            <v>1148.3128075076688</v>
          </cell>
          <cell r="L105">
            <v>2.9166232867910256</v>
          </cell>
          <cell r="M105">
            <v>3.349195874897247</v>
          </cell>
        </row>
        <row r="106">
          <cell r="A106">
            <v>124</v>
          </cell>
          <cell r="I106">
            <v>88.668861763910883</v>
          </cell>
          <cell r="J106">
            <v>1148.8163061616572</v>
          </cell>
          <cell r="L106">
            <v>2.9301795308169472</v>
          </cell>
          <cell r="M106">
            <v>3.3662380249836232</v>
          </cell>
        </row>
        <row r="107">
          <cell r="A107">
            <v>125</v>
          </cell>
          <cell r="I107">
            <v>89.818034016046113</v>
          </cell>
          <cell r="J107">
            <v>1149.1722521352349</v>
          </cell>
          <cell r="L107">
            <v>2.9436316613857745</v>
          </cell>
          <cell r="M107">
            <v>3.382739825771274</v>
          </cell>
        </row>
        <row r="108">
          <cell r="A108">
            <v>126</v>
          </cell>
          <cell r="I108">
            <v>90.967416844669373</v>
          </cell>
          <cell r="J108">
            <v>1149.3828286232572</v>
          </cell>
          <cell r="L108">
            <v>2.9569893078790361</v>
          </cell>
          <cell r="M108">
            <v>3.3987127348987345</v>
          </cell>
        </row>
        <row r="109">
          <cell r="A109">
            <v>127</v>
          </cell>
          <cell r="I109">
            <v>92.116867083593206</v>
          </cell>
          <cell r="J109">
            <v>1149.4502389238269</v>
          </cell>
          <cell r="L109">
            <v>2.9702619849471179</v>
          </cell>
          <cell r="M109">
            <v>3.4141683482638245</v>
          </cell>
        </row>
        <row r="110">
          <cell r="A110">
            <v>128</v>
          </cell>
          <cell r="I110">
            <v>93.266243788089383</v>
          </cell>
          <cell r="J110">
            <v>1149.376704496171</v>
          </cell>
          <cell r="L110">
            <v>2.9834590832999441</v>
          </cell>
          <cell r="M110">
            <v>3.4291183691624569</v>
          </cell>
        </row>
        <row r="111">
          <cell r="A111">
            <v>129</v>
          </cell>
          <cell r="I111">
            <v>94.415408251147269</v>
          </cell>
          <cell r="J111">
            <v>1149.164463057886</v>
          </cell>
          <cell r="L111">
            <v>2.9965898613232964</v>
          </cell>
          <cell r="M111">
            <v>3.4435745789922905</v>
          </cell>
        </row>
        <row r="112">
          <cell r="A112">
            <v>130</v>
          </cell>
          <cell r="I112">
            <v>95.564224017871567</v>
          </cell>
          <cell r="J112">
            <v>1148.8157667242904</v>
          </cell>
          <cell r="L112">
            <v>3.0096634374914388</v>
          </cell>
          <cell r="M112">
            <v>3.4575488095237912</v>
          </cell>
        </row>
        <row r="113">
          <cell r="A113">
            <v>131</v>
          </cell>
          <cell r="I113">
            <v>96.712556898060484</v>
          </cell>
          <cell r="J113">
            <v>1148.3328801889193</v>
          </cell>
          <cell r="L113">
            <v>3.0226887835546501</v>
          </cell>
          <cell r="M113">
            <v>3.471052916734052</v>
          </cell>
        </row>
        <row r="114">
          <cell r="A114">
            <v>132</v>
          </cell>
          <cell r="I114">
            <v>97.860274977008217</v>
          </cell>
          <cell r="J114">
            <v>1147.71807894774</v>
          </cell>
          <cell r="L114">
            <v>3.0356747184694424</v>
          </cell>
          <cell r="M114">
            <v>3.4840987561919694</v>
          </cell>
        </row>
        <row r="115">
          <cell r="A115">
            <v>133</v>
          </cell>
          <cell r="I115">
            <v>99.007248624573791</v>
          </cell>
          <cell r="J115">
            <v>1146.9736475655714</v>
          </cell>
          <cell r="L115">
            <v>3.048629903048758</v>
          </cell>
          <cell r="M115">
            <v>3.4966981599773082</v>
          </cell>
        </row>
        <row r="116">
          <cell r="A116">
            <v>134</v>
          </cell>
          <cell r="I116">
            <v>100.15335050256107</v>
          </cell>
          <cell r="J116">
            <v>1146.101877987277</v>
          </cell>
          <cell r="L116">
            <v>3.061562835297607</v>
          </cell>
          <cell r="M116">
            <v>3.5088629151106394</v>
          </cell>
        </row>
        <row r="117">
          <cell r="A117">
            <v>135</v>
          </cell>
          <cell r="I117">
            <v>101.29845557045405</v>
          </cell>
          <cell r="J117">
            <v>1145.1050678929789</v>
          </cell>
          <cell r="L117">
            <v>3.0744818464075068</v>
          </cell>
          <cell r="M117">
            <v>3.5206047434661989</v>
          </cell>
        </row>
        <row r="118">
          <cell r="A118">
            <v>136</v>
          </cell>
          <cell r="I118">
            <v>102.44244108955142</v>
          </cell>
          <cell r="J118">
            <v>1143.985519097371</v>
          </cell>
          <cell r="L118">
            <v>3.0873950973802398</v>
          </cell>
          <cell r="M118">
            <v>3.531935283135212</v>
          </cell>
        </row>
        <row r="119">
          <cell r="A119">
            <v>137</v>
          </cell>
          <cell r="I119">
            <v>103.58518662554634</v>
          </cell>
          <cell r="J119">
            <v>1142.7455359949163</v>
          </cell>
          <cell r="L119">
            <v>3.1003105762464238</v>
          </cell>
          <cell r="M119">
            <v>3.5428660712034272</v>
          </cell>
        </row>
        <row r="120">
          <cell r="A120">
            <v>138</v>
          </cell>
          <cell r="I120">
            <v>104.72657404959587</v>
          </cell>
          <cell r="J120">
            <v>1141.3874240495209</v>
          </cell>
          <cell r="L120">
            <v>3.1132360958525833</v>
          </cell>
          <cell r="M120">
            <v>3.5534085279031666</v>
          </cell>
        </row>
        <row r="121">
          <cell r="A121">
            <v>139</v>
          </cell>
          <cell r="I121">
            <v>105.86648753792561</v>
          </cell>
          <cell r="J121">
            <v>1139.9134883297329</v>
          </cell>
          <cell r="L121">
            <v>3.1261792921836906</v>
          </cell>
          <cell r="M121">
            <v>3.5635739420972858</v>
          </cell>
        </row>
        <row r="122">
          <cell r="A122">
            <v>140</v>
          </cell>
          <cell r="I122">
            <v>107.00481357001502</v>
          </cell>
          <cell r="J122">
            <v>1138.3260320894028</v>
          </cell>
          <cell r="L122">
            <v>3.1391476231911035</v>
          </cell>
          <cell r="M122">
            <v>3.5733734580500092</v>
          </cell>
        </row>
        <row r="123">
          <cell r="A123">
            <v>141</v>
          </cell>
          <cell r="I123">
            <v>108.14144092540845</v>
          </cell>
          <cell r="J123">
            <v>1136.6273553934293</v>
          </cell>
          <cell r="L123">
            <v>3.152148368096813</v>
          </cell>
          <cell r="M123">
            <v>3.5828180634375948</v>
          </cell>
        </row>
        <row r="124">
          <cell r="A124">
            <v>142</v>
          </cell>
          <cell r="I124">
            <v>109.27626067919756</v>
          </cell>
          <cell r="J124">
            <v>1134.8197537891112</v>
          </cell>
          <cell r="L124">
            <v>3.1651886271427214</v>
          </cell>
          <cell r="M124">
            <v>3.5919185785501977</v>
          </cell>
        </row>
        <row r="125">
          <cell r="A125">
            <v>143</v>
          </cell>
          <cell r="I125">
            <v>110.40916619622007</v>
          </cell>
          <cell r="J125">
            <v>1132.905517022504</v>
          </cell>
          <cell r="L125">
            <v>3.1782753217570487</v>
          </cell>
          <cell r="M125">
            <v>3.6006856466350348</v>
          </cell>
        </row>
        <row r="126">
          <cell r="A126">
            <v>144</v>
          </cell>
          <cell r="I126">
            <v>111.54005312402005</v>
          </cell>
          <cell r="J126">
            <v>1130.8869277999738</v>
          </cell>
          <cell r="L126">
            <v>3.191415195108259</v>
          </cell>
          <cell r="M126">
            <v>3.6091297253301331</v>
          </cell>
        </row>
        <row r="127">
          <cell r="A127">
            <v>145</v>
          </cell>
          <cell r="I127">
            <v>112.66881938461427</v>
          </cell>
          <cell r="J127">
            <v>1128.7662605942121</v>
          </cell>
          <cell r="L127">
            <v>3.2046148130200187</v>
          </cell>
          <cell r="M127">
            <v>3.6172610791374269</v>
          </cell>
        </row>
        <row r="128">
          <cell r="A128">
            <v>146</v>
          </cell>
          <cell r="I128">
            <v>113.79536516510929</v>
          </cell>
          <cell r="J128">
            <v>1126.5457804950208</v>
          </cell>
          <cell r="L128">
            <v>3.2178805652183504</v>
          </cell>
          <cell r="M128">
            <v>3.6250897728836651</v>
          </cell>
        </row>
        <row r="129">
          <cell r="A129">
            <v>147</v>
          </cell>
          <cell r="I129">
            <v>114.91959290721334</v>
          </cell>
          <cell r="J129">
            <v>1124.2277421040578</v>
          </cell>
          <cell r="L129">
            <v>3.2312186668859946</v>
          </cell>
          <cell r="M129">
            <v>3.6326256661177254</v>
          </cell>
        </row>
        <row r="130">
          <cell r="A130">
            <v>148</v>
          </cell>
          <cell r="I130">
            <v>116.04140729568708</v>
          </cell>
          <cell r="J130">
            <v>1121.8143884737431</v>
          </cell>
          <cell r="L130">
            <v>3.244635160496836</v>
          </cell>
          <cell r="M130">
            <v>3.6398784083931632</v>
          </cell>
        </row>
        <row r="131">
          <cell r="A131">
            <v>149</v>
          </cell>
          <cell r="I131">
            <v>117.16071524577572</v>
          </cell>
          <cell r="J131">
            <v>1119.3079500886363</v>
          </cell>
          <cell r="L131">
            <v>3.2581359179094669</v>
          </cell>
          <cell r="M131">
            <v>3.6468574353854026</v>
          </cell>
        </row>
        <row r="132">
          <cell r="A132">
            <v>150</v>
          </cell>
          <cell r="I132">
            <v>118.27742588966635</v>
          </cell>
          <cell r="J132">
            <v>1116.7106438906299</v>
          </cell>
          <cell r="L132">
            <v>3.2717266426910308</v>
          </cell>
          <cell r="M132">
            <v>3.653571965793629</v>
          </cell>
        </row>
        <row r="133">
          <cell r="A133">
            <v>151</v>
          </cell>
          <cell r="I133">
            <v>119.39145056201224</v>
          </cell>
          <cell r="J133">
            <v>1114.0246723458931</v>
          </cell>
          <cell r="L133">
            <v>3.2854128726532008</v>
          </cell>
          <cell r="M133">
            <v>3.6600309989784612</v>
          </cell>
        </row>
        <row r="134">
          <cell r="A134">
            <v>152</v>
          </cell>
          <cell r="I134">
            <v>120.50270278456624</v>
          </cell>
          <cell r="J134">
            <v>1111.2522225540033</v>
          </cell>
          <cell r="L134">
            <v>3.2991999825757388</v>
          </cell>
          <cell r="M134">
            <v>3.6662433132874188</v>
          </cell>
        </row>
        <row r="135">
          <cell r="A135">
            <v>153</v>
          </cell>
          <cell r="I135">
            <v>121.6110982499637</v>
          </cell>
          <cell r="J135">
            <v>1108.3954653974647</v>
          </cell>
          <cell r="L135">
            <v>3.3130931871005935</v>
          </cell>
          <cell r="M135">
            <v>3.6722174650215322</v>
          </cell>
        </row>
        <row r="136">
          <cell r="A136">
            <v>154</v>
          </cell>
          <cell r="I136">
            <v>122.71655480469713</v>
          </cell>
          <cell r="J136">
            <v>1105.4565547334289</v>
          </cell>
          <cell r="L136">
            <v>3.327097543769634</v>
          </cell>
          <cell r="M136">
            <v>3.6779617879976336</v>
          </cell>
        </row>
        <row r="137">
          <cell r="A137">
            <v>155</v>
          </cell>
          <cell r="I137">
            <v>123.81899243132042</v>
          </cell>
          <cell r="J137">
            <v>1102.4376266232978</v>
          </cell>
          <cell r="L137">
            <v>3.3412179561983093</v>
          </cell>
          <cell r="M137">
            <v>3.6834843936624102</v>
          </cell>
        </row>
        <row r="138">
          <cell r="A138">
            <v>156</v>
          </cell>
          <cell r="I138">
            <v>124.91833322992393</v>
          </cell>
          <cell r="J138">
            <v>1099.3407986035102</v>
          </cell>
          <cell r="L138">
            <v>3.3554591773557161</v>
          </cell>
          <cell r="M138">
            <v>3.6887931717157101</v>
          </cell>
        </row>
        <row r="139">
          <cell r="A139">
            <v>157</v>
          </cell>
          <cell r="I139">
            <v>126.01450139891756</v>
          </cell>
          <cell r="J139">
            <v>1096.168168993629</v>
          </cell>
          <cell r="L139">
            <v>3.3698258129439127</v>
          </cell>
          <cell r="M139">
            <v>3.6938957912021966</v>
          </cell>
        </row>
        <row r="140">
          <cell r="A140">
            <v>158</v>
          </cell>
          <cell r="I140">
            <v>127.10742321516051</v>
          </cell>
          <cell r="J140">
            <v>1092.9218162429522</v>
          </cell>
          <cell r="L140">
            <v>3.3843223248549767</v>
          </cell>
          <cell r="M140">
            <v>3.6987997020320718</v>
          </cell>
        </row>
        <row r="141">
          <cell r="A141">
            <v>159</v>
          </cell>
          <cell r="I141">
            <v>128.19702701347455</v>
          </cell>
          <cell r="J141">
            <v>1089.6037983140454</v>
          </cell>
          <cell r="L141">
            <v>3.3989530346936223</v>
          </cell>
          <cell r="M141">
            <v>3.7035121368932225</v>
          </cell>
        </row>
        <row r="142">
          <cell r="A142">
            <v>160</v>
          </cell>
          <cell r="I142">
            <v>129.28324316557712</v>
          </cell>
          <cell r="J142">
            <v>1086.2161521025755</v>
          </cell>
          <cell r="L142">
            <v>3.4137221273511833</v>
          </cell>
          <cell r="M142">
            <v>3.7080401135188206</v>
          </cell>
        </row>
        <row r="143">
          <cell r="A143">
            <v>161</v>
          </cell>
          <cell r="I143">
            <v>130.36600405847014</v>
          </cell>
          <cell r="J143">
            <v>1082.7608928930308</v>
          </cell>
          <cell r="L143">
            <v>3.4286336546169447</v>
          </cell>
          <cell r="M143">
            <v>3.7123904372761385</v>
          </cell>
        </row>
        <row r="144">
          <cell r="A144">
            <v>162</v>
          </cell>
          <cell r="I144">
            <v>131.44524407231904</v>
          </cell>
          <cell r="J144">
            <v>1079.2400138488947</v>
          </cell>
          <cell r="L144">
            <v>3.4436915388168092</v>
          </cell>
          <cell r="M144">
            <v>3.7165697040439745</v>
          </cell>
        </row>
        <row r="145">
          <cell r="A145">
            <v>163</v>
          </cell>
          <cell r="I145">
            <v>132.52089955785613</v>
          </cell>
          <cell r="J145">
            <v>1075.6554855370916</v>
          </cell>
          <cell r="L145">
            <v>3.4588995764662234</v>
          </cell>
          <cell r="M145">
            <v>3.7205843033478163</v>
          </cell>
        </row>
        <row r="146">
          <cell r="A146">
            <v>164</v>
          </cell>
          <cell r="I146">
            <v>133.59290881334186</v>
          </cell>
          <cell r="J146">
            <v>1072.0092554857274</v>
          </cell>
          <cell r="L146">
            <v>3.4742614419275677</v>
          </cell>
          <cell r="M146">
            <v>3.7244404217235418</v>
          </cell>
        </row>
        <row r="147">
          <cell r="A147">
            <v>165</v>
          </cell>
          <cell r="I147">
            <v>134.66121206111575</v>
          </cell>
          <cell r="J147">
            <v>1068.3032477738934</v>
          </cell>
          <cell r="L147">
            <v>3.4897806910637792</v>
          </cell>
          <cell r="M147">
            <v>3.7281440462820572</v>
          </cell>
        </row>
        <row r="148">
          <cell r="A148">
            <v>166</v>
          </cell>
          <cell r="I148">
            <v>135.72575142376897</v>
          </cell>
          <cell r="J148">
            <v>1064.5393626532125</v>
          </cell>
          <cell r="L148">
            <v>3.5054607648778973</v>
          </cell>
          <cell r="M148">
            <v>3.7317009684489593</v>
          </cell>
        </row>
        <row r="149">
          <cell r="A149">
            <v>167</v>
          </cell>
          <cell r="I149">
            <v>136.78647089996943</v>
          </cell>
          <cell r="J149">
            <v>1060.7194762004654</v>
          </cell>
          <cell r="L149">
            <v>3.521304993129915</v>
          </cell>
          <cell r="M149">
            <v>3.7351167878548464</v>
          </cell>
        </row>
        <row r="150">
          <cell r="A150">
            <v>168</v>
          </cell>
          <cell r="I150">
            <v>137.84331633996885</v>
          </cell>
          <cell r="J150">
            <v>1056.8454399994166</v>
          </cell>
          <cell r="L150">
            <v>3.5373165979270653</v>
          </cell>
          <cell r="M150">
            <v>3.7383969163534689</v>
          </cell>
        </row>
        <row r="151">
          <cell r="A151">
            <v>169</v>
          </cell>
          <cell r="I151">
            <v>138.89623542082131</v>
          </cell>
          <cell r="J151">
            <v>1052.9190808524702</v>
          </cell>
          <cell r="L151">
            <v>3.5534986972760954</v>
          </cell>
          <cell r="M151">
            <v>3.7415465821463969</v>
          </cell>
        </row>
        <row r="152">
          <cell r="A152">
            <v>170</v>
          </cell>
          <cell r="I152">
            <v>139.94517762134137</v>
          </cell>
          <cell r="J152">
            <v>1048.9422005200686</v>
          </cell>
          <cell r="L152">
            <v>3.569854308595656</v>
          </cell>
          <cell r="M152">
            <v>3.7445708339943757</v>
          </cell>
        </row>
        <row r="153">
          <cell r="A153">
            <v>171</v>
          </cell>
          <cell r="I153">
            <v>140.99009419682895</v>
          </cell>
          <cell r="J153">
            <v>1044.9165754875692</v>
          </cell>
          <cell r="L153">
            <v>3.5863863521815271</v>
          </cell>
          <cell r="M153">
            <v>3.7474745454968765</v>
          </cell>
        </row>
        <row r="154">
          <cell r="A154">
            <v>172</v>
          </cell>
          <cell r="I154">
            <v>142.03093815358818</v>
          </cell>
          <cell r="J154">
            <v>1040.8439567592391</v>
          </cell>
          <cell r="L154">
            <v>3.6030976546182409</v>
          </cell>
          <cell r="M154">
            <v>3.7502624194227843</v>
          </cell>
        </row>
        <row r="155">
          <cell r="A155">
            <v>173</v>
          </cell>
          <cell r="I155">
            <v>143.06766422326504</v>
          </cell>
          <cell r="J155">
            <v>1036.7260696768603</v>
          </cell>
          <cell r="L155">
            <v>3.6199909521385507</v>
          </cell>
          <cell r="M155">
            <v>3.7529389920763951</v>
          </cell>
        </row>
        <row r="156">
          <cell r="A156">
            <v>174</v>
          </cell>
          <cell r="I156">
            <v>144.10022883702962</v>
          </cell>
          <cell r="J156">
            <v>1032.5646137645911</v>
          </cell>
          <cell r="L156">
            <v>3.6370688939185247</v>
          </cell>
          <cell r="M156">
            <v>3.7555086376841893</v>
          </cell>
        </row>
        <row r="157">
          <cell r="A157">
            <v>175</v>
          </cell>
          <cell r="I157">
            <v>145.12859009962676</v>
          </cell>
          <cell r="J157">
            <v>1028.3612625971537</v>
          </cell>
          <cell r="L157">
            <v>3.6543340453121882</v>
          </cell>
          <cell r="M157">
            <v>3.7579755727890061</v>
          </cell>
        </row>
        <row r="158">
          <cell r="A158">
            <v>176</v>
          </cell>
          <cell r="I158">
            <v>146.15270776331795</v>
          </cell>
          <cell r="J158">
            <v>1024.1176636911764</v>
          </cell>
          <cell r="L158">
            <v>3.6717888910207424</v>
          </cell>
          <cell r="M158">
            <v>3.7603438606393782</v>
          </cell>
        </row>
        <row r="159">
          <cell r="A159">
            <v>177</v>
          </cell>
          <cell r="I159">
            <v>147.17254320173757</v>
          </cell>
          <cell r="J159">
            <v>1019.8354384196269</v>
          </cell>
          <cell r="L159">
            <v>3.6894358381913039</v>
          </cell>
          <cell r="M159">
            <v>3.7626174155629122</v>
          </cell>
        </row>
        <row r="160">
          <cell r="A160">
            <v>178</v>
          </cell>
          <cell r="I160">
            <v>148.18805938368513</v>
          </cell>
          <cell r="J160">
            <v>1015.5161819475505</v>
          </cell>
          <cell r="L160">
            <v>3.7072772194465768</v>
          </cell>
          <cell r="M160">
            <v>3.7648000073135188</v>
          </cell>
        </row>
        <row r="161">
          <cell r="A161">
            <v>179</v>
          </cell>
          <cell r="I161">
            <v>149.19922084687377</v>
          </cell>
          <cell r="J161">
            <v>1011.1614631886447</v>
          </cell>
          <cell r="L161">
            <v>3.7253152958427553</v>
          </cell>
          <cell r="M161">
            <v>3.7668952653833996</v>
          </cell>
        </row>
        <row r="162">
          <cell r="A162">
            <v>180</v>
          </cell>
          <cell r="I162">
            <v>150.2059936716561</v>
          </cell>
          <cell r="J162">
            <v>1006.7728247823248</v>
          </cell>
          <cell r="L162">
            <v>3.7435522597526987</v>
          </cell>
          <cell r="M162">
            <v>3.7689066832714802</v>
          </cell>
        </row>
        <row r="163">
          <cell r="A163">
            <v>181</v>
          </cell>
          <cell r="I163">
            <v>151.20834545474557</v>
          </cell>
          <cell r="J163">
            <v>1002.3517830894624</v>
          </cell>
          <cell r="L163">
            <v>3.7619902376772485</v>
          </cell>
          <cell r="M163">
            <v>3.7708376227009404</v>
          </cell>
        </row>
        <row r="164">
          <cell r="A164">
            <v>182</v>
          </cell>
          <cell r="I164">
            <v>152.20624528295343</v>
          </cell>
          <cell r="J164">
            <v>997.89982820786327</v>
          </cell>
          <cell r="L164">
            <v>3.7806312929772106</v>
          </cell>
          <cell r="M164">
            <v>3.7726913177792305</v>
          </cell>
        </row>
        <row r="165">
          <cell r="A165">
            <v>183</v>
          </cell>
          <cell r="I165">
            <v>153.19966370695744</v>
          </cell>
          <cell r="J165">
            <v>993.41842400400662</v>
          </cell>
          <cell r="L165">
            <v>3.7994774285357367</v>
          </cell>
          <cell r="M165">
            <v>3.7744708790947672</v>
          </cell>
        </row>
        <row r="166">
          <cell r="A166">
            <v>184</v>
          </cell>
          <cell r="I166">
            <v>154.18857271512084</v>
          </cell>
          <cell r="J166">
            <v>988.90900816339445</v>
          </cell>
          <cell r="L166">
            <v>3.8185305893393742</v>
          </cell>
          <cell r="M166">
            <v>3.7761792977451822</v>
          </cell>
        </row>
        <row r="167">
          <cell r="A167">
            <v>185</v>
          </cell>
          <cell r="I167">
            <v>155.17294570737729</v>
          </cell>
          <cell r="J167">
            <v>984.3729922564429</v>
          </cell>
          <cell r="L167">
            <v>3.8377926649865945</v>
          </cell>
          <cell r="M167">
            <v>3.7778194492926822</v>
          </cell>
        </row>
        <row r="168">
          <cell r="A168">
            <v>186</v>
          </cell>
          <cell r="I168">
            <v>156.15275746919744</v>
          </cell>
          <cell r="J168">
            <v>979.81176182013144</v>
          </cell>
          <cell r="L168">
            <v>3.8572654921205936</v>
          </cell>
          <cell r="M168">
            <v>3.7793940976426748</v>
          </cell>
        </row>
        <row r="169">
          <cell r="A169">
            <v>187</v>
          </cell>
          <cell r="I169">
            <v>157.12798414565248</v>
          </cell>
          <cell r="J169">
            <v>975.22667645503805</v>
          </cell>
          <cell r="L169">
            <v>3.8769508567854665</v>
          </cell>
          <cell r="M169">
            <v>3.7809058988424029</v>
          </cell>
        </row>
        <row r="170">
          <cell r="A170">
            <v>188</v>
          </cell>
          <cell r="I170">
            <v>158.09860321558833</v>
          </cell>
          <cell r="J170">
            <v>970.61906993584535</v>
          </cell>
          <cell r="L170">
            <v>3.8968504967111959</v>
          </cell>
          <cell r="M170">
            <v>3.782357404796858</v>
          </cell>
        </row>
        <row r="171">
          <cell r="A171">
            <v>189</v>
          </cell>
          <cell r="I171">
            <v>159.06459346592504</v>
          </cell>
          <cell r="J171">
            <v>965.99025033672967</v>
          </cell>
          <cell r="L171">
            <v>3.9169661035199601</v>
          </cell>
          <cell r="M171">
            <v>3.7837510668997307</v>
          </cell>
        </row>
        <row r="172">
          <cell r="A172">
            <v>190</v>
          </cell>
          <cell r="I172">
            <v>160.02593496609344</v>
          </cell>
          <cell r="J172">
            <v>961.34150016840624</v>
          </cell>
          <cell r="L172">
            <v>3.9372993248648327</v>
          </cell>
          <cell r="M172">
            <v>3.7850892395776112</v>
          </cell>
        </row>
        <row r="173">
          <cell r="A173">
            <v>191</v>
          </cell>
          <cell r="I173">
            <v>160.98260904262179</v>
          </cell>
          <cell r="J173">
            <v>956.67407652833299</v>
          </cell>
          <cell r="L173">
            <v>3.9578517664933739</v>
          </cell>
          <cell r="M173">
            <v>3.78637418374608</v>
          </cell>
        </row>
        <row r="174">
          <cell r="A174">
            <v>192</v>
          </cell>
          <cell r="I174">
            <v>161.9345982538841</v>
          </cell>
          <cell r="J174">
            <v>951.9892112623188</v>
          </cell>
          <cell r="L174">
            <v>3.9786249942416725</v>
          </cell>
          <cell r="M174">
            <v>3.7876080701766774</v>
          </cell>
        </row>
        <row r="175">
          <cell r="A175">
            <v>193</v>
          </cell>
          <cell r="I175">
            <v>162.88188636502164</v>
          </cell>
          <cell r="J175">
            <v>947.28811113753727</v>
          </cell>
          <cell r="L175">
            <v>3.9996205359575834</v>
          </cell>
          <cell r="M175">
            <v>3.7887929827741638</v>
          </cell>
        </row>
        <row r="176">
          <cell r="A176">
            <v>194</v>
          </cell>
          <cell r="I176">
            <v>163.82445832304685</v>
          </cell>
          <cell r="J176">
            <v>942.57195802522142</v>
          </cell>
          <cell r="L176">
            <v>4.0208398833591064</v>
          </cell>
          <cell r="M176">
            <v>3.7899309217636961</v>
          </cell>
        </row>
        <row r="177">
          <cell r="A177">
            <v>195</v>
          </cell>
          <cell r="I177">
            <v>164.76230023214148</v>
          </cell>
          <cell r="J177">
            <v>937.84190909463803</v>
          </cell>
          <cell r="L177">
            <v>4.0422844938201425</v>
          </cell>
          <cell r="M177">
            <v>3.7910238067879352</v>
          </cell>
        </row>
        <row r="178">
          <cell r="A178">
            <v>196</v>
          </cell>
          <cell r="I178">
            <v>165.69539932915626</v>
          </cell>
          <cell r="J178">
            <v>933.09909701476909</v>
          </cell>
          <cell r="L178">
            <v>4.0639557920976968</v>
          </cell>
          <cell r="M178">
            <v>3.7920734799143014</v>
          </cell>
        </row>
        <row r="179">
          <cell r="A179">
            <v>197</v>
          </cell>
          <cell r="I179">
            <v>166.62374395932278</v>
          </cell>
          <cell r="J179">
            <v>928.34463016652171</v>
          </cell>
          <cell r="L179">
            <v>4.0858551719876735</v>
          </cell>
          <cell r="M179">
            <v>3.793081708552867</v>
          </cell>
        </row>
        <row r="180">
          <cell r="A180">
            <v>198</v>
          </cell>
          <cell r="I180">
            <v>167.5473235521842</v>
          </cell>
          <cell r="J180">
            <v>923.5795928614225</v>
          </cell>
          <cell r="L180">
            <v>4.1079839979257908</v>
          </cell>
          <cell r="M180">
            <v>3.7940501882855404</v>
          </cell>
        </row>
        <row r="181">
          <cell r="A181">
            <v>199</v>
          </cell>
          <cell r="I181">
            <v>168.46612859775411</v>
          </cell>
          <cell r="J181">
            <v>918.80504556990024</v>
          </cell>
          <cell r="L181">
            <v>4.1303436065194576</v>
          </cell>
          <cell r="M181">
            <v>3.7949805456074568</v>
          </cell>
        </row>
        <row r="182">
          <cell r="A182">
            <v>200</v>
          </cell>
          <cell r="I182">
            <v>169.38015062290933</v>
          </cell>
          <cell r="J182">
            <v>914.02202515520764</v>
          </cell>
          <cell r="L182">
            <v>4.152935308027204</v>
          </cell>
          <cell r="M182">
            <v>3.7958743405815913</v>
          </cell>
        </row>
        <row r="183">
          <cell r="A183">
            <v>201</v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</row>
        <row r="184">
          <cell r="A184">
            <v>202</v>
          </cell>
          <cell r="I184" t="str">
            <v/>
          </cell>
          <cell r="J184" t="str">
            <v/>
          </cell>
          <cell r="L184" t="str">
            <v/>
          </cell>
          <cell r="M184" t="str">
            <v/>
          </cell>
        </row>
        <row r="185">
          <cell r="A185">
            <v>203</v>
          </cell>
          <cell r="I185" t="str">
            <v/>
          </cell>
          <cell r="J185" t="str">
            <v/>
          </cell>
          <cell r="L185" t="str">
            <v/>
          </cell>
          <cell r="M185" t="str">
            <v/>
          </cell>
        </row>
      </sheetData>
      <sheetData sheetId="21">
        <row r="3">
          <cell r="A3">
            <v>21</v>
          </cell>
          <cell r="I3">
            <v>6.0580105212632942</v>
          </cell>
        </row>
        <row r="4">
          <cell r="A4">
            <v>22</v>
          </cell>
          <cell r="I4">
            <v>6.1475270980272505</v>
          </cell>
          <cell r="J4">
            <v>89.516576763955968</v>
          </cell>
          <cell r="L4">
            <v>1.1226170324781388</v>
          </cell>
          <cell r="M4">
            <v>0.10049283376435376</v>
          </cell>
        </row>
        <row r="5">
          <cell r="A5">
            <v>23</v>
          </cell>
          <cell r="I5">
            <v>6.2632284424575069</v>
          </cell>
          <cell r="J5">
            <v>115.70134443025678</v>
          </cell>
          <cell r="L5">
            <v>1.1335162269682073</v>
          </cell>
          <cell r="M5">
            <v>0.13114935139373368</v>
          </cell>
        </row>
        <row r="6">
          <cell r="A6">
            <v>24</v>
          </cell>
          <cell r="I6">
            <v>6.404491107704863</v>
          </cell>
          <cell r="J6">
            <v>141.26266524735641</v>
          </cell>
          <cell r="L6">
            <v>1.1444154214582969</v>
          </cell>
          <cell r="M6">
            <v>0.16166317258537571</v>
          </cell>
        </row>
        <row r="7">
          <cell r="A7">
            <v>25</v>
          </cell>
          <cell r="I7">
            <v>6.5706916469201255</v>
          </cell>
          <cell r="J7">
            <v>166.20053921526264</v>
          </cell>
          <cell r="L7">
            <v>1.1553146159483647</v>
          </cell>
          <cell r="M7">
            <v>0.19201391213389227</v>
          </cell>
        </row>
        <row r="8">
          <cell r="A8">
            <v>26</v>
          </cell>
          <cell r="I8">
            <v>6.7612066132540933</v>
          </cell>
          <cell r="J8">
            <v>190.51496633396769</v>
          </cell>
          <cell r="L8">
            <v>1.1771130049285334</v>
          </cell>
          <cell r="M8">
            <v>0.22425764450523511</v>
          </cell>
        </row>
        <row r="9">
          <cell r="A9">
            <v>27</v>
          </cell>
          <cell r="I9">
            <v>6.9754125598575705</v>
          </cell>
          <cell r="J9">
            <v>214.2059466034774</v>
          </cell>
          <cell r="L9">
            <v>1.1926239359569688</v>
          </cell>
          <cell r="M9">
            <v>0.25546713914362745</v>
          </cell>
        </row>
        <row r="10">
          <cell r="A10">
            <v>28</v>
          </cell>
          <cell r="I10">
            <v>7.2126860398813593</v>
          </cell>
          <cell r="J10">
            <v>237.27348002378884</v>
          </cell>
          <cell r="L10">
            <v>1.2082118648627664</v>
          </cell>
          <cell r="M10">
            <v>0.2866766337820203</v>
          </cell>
        </row>
        <row r="11">
          <cell r="A11">
            <v>29</v>
          </cell>
          <cell r="I11">
            <v>7.4724036064762611</v>
          </cell>
          <cell r="J11">
            <v>259.717566594902</v>
          </cell>
          <cell r="L11">
            <v>1.2239685308473551</v>
          </cell>
          <cell r="M11">
            <v>0.31788612842041225</v>
          </cell>
        </row>
        <row r="12">
          <cell r="A12">
            <v>30</v>
          </cell>
          <cell r="I12">
            <v>7.7539418127930801</v>
          </cell>
          <cell r="J12">
            <v>281.5382063168189</v>
          </cell>
          <cell r="L12">
            <v>1.2399582551362989</v>
          </cell>
          <cell r="M12">
            <v>0.34909562305880609</v>
          </cell>
        </row>
        <row r="13">
          <cell r="A13">
            <v>31</v>
          </cell>
          <cell r="I13">
            <v>8.0566772119826169</v>
          </cell>
          <cell r="J13">
            <v>302.73539918953747</v>
          </cell>
          <cell r="L13">
            <v>1.2562294291164027</v>
          </cell>
          <cell r="M13">
            <v>0.38030511769719894</v>
          </cell>
        </row>
        <row r="14">
          <cell r="A14">
            <v>32</v>
          </cell>
          <cell r="I14">
            <v>8.3799863571956763</v>
          </cell>
          <cell r="J14">
            <v>323.3091452130588</v>
          </cell>
          <cell r="L14">
            <v>1.2728208231301508</v>
          </cell>
          <cell r="M14">
            <v>0.411514612335591</v>
          </cell>
        </row>
        <row r="15">
          <cell r="A15">
            <v>33</v>
          </cell>
          <cell r="I15">
            <v>8.7232458015830598</v>
          </cell>
          <cell r="J15">
            <v>343.25944438738281</v>
          </cell>
          <cell r="L15">
            <v>1.289765261270865</v>
          </cell>
          <cell r="M15">
            <v>0.44272410697398479</v>
          </cell>
        </row>
        <row r="16">
          <cell r="A16">
            <v>34</v>
          </cell>
          <cell r="I16">
            <v>9.0858320982955671</v>
          </cell>
          <cell r="J16">
            <v>362.58629671250662</v>
          </cell>
          <cell r="L16">
            <v>1.3070918727746501</v>
          </cell>
          <cell r="M16">
            <v>0.4739336016123753</v>
          </cell>
        </row>
        <row r="17">
          <cell r="A17">
            <v>35</v>
          </cell>
          <cell r="I17">
            <v>9.467121800484005</v>
          </cell>
          <cell r="J17">
            <v>381.28970218843705</v>
          </cell>
          <cell r="L17">
            <v>1.3248275349464416</v>
          </cell>
          <cell r="M17">
            <v>0.50514309625076992</v>
          </cell>
        </row>
        <row r="18">
          <cell r="A18">
            <v>36</v>
          </cell>
          <cell r="I18">
            <v>9.8664914612991694</v>
          </cell>
          <cell r="J18">
            <v>399.36966081516425</v>
          </cell>
          <cell r="L18">
            <v>1.34299783762842</v>
          </cell>
          <cell r="M18">
            <v>0.5363525908891611</v>
          </cell>
        </row>
        <row r="19">
          <cell r="A19">
            <v>37</v>
          </cell>
          <cell r="I19">
            <v>10.283317633891869</v>
          </cell>
          <cell r="J19">
            <v>416.82617259270012</v>
          </cell>
          <cell r="L19">
            <v>1.3616277547958766</v>
          </cell>
          <cell r="M19">
            <v>0.56756208552755671</v>
          </cell>
        </row>
        <row r="20">
          <cell r="A20">
            <v>38</v>
          </cell>
          <cell r="I20">
            <v>10.716976871412903</v>
          </cell>
          <cell r="J20">
            <v>433.65923752103475</v>
          </cell>
          <cell r="L20">
            <v>1.3807421319761526</v>
          </cell>
          <cell r="M20">
            <v>0.59877158016594623</v>
          </cell>
        </row>
        <row r="21">
          <cell r="A21">
            <v>39</v>
          </cell>
          <cell r="I21">
            <v>11.166845727013076</v>
          </cell>
          <cell r="J21">
            <v>449.86885560017214</v>
          </cell>
          <cell r="L21">
            <v>1.4003660554893929</v>
          </cell>
          <cell r="M21">
            <v>0.62998107480434029</v>
          </cell>
        </row>
        <row r="22">
          <cell r="A22">
            <v>40</v>
          </cell>
          <cell r="I22">
            <v>11.632300753843188</v>
          </cell>
          <cell r="J22">
            <v>465.45502683011216</v>
          </cell>
          <cell r="L22">
            <v>1.4205251449224676</v>
          </cell>
          <cell r="M22">
            <v>0.66119056944273613</v>
          </cell>
        </row>
        <row r="23">
          <cell r="A23">
            <v>41</v>
          </cell>
          <cell r="I23">
            <v>12.112718505054042</v>
          </cell>
          <cell r="J23">
            <v>480.41775121085499</v>
          </cell>
          <cell r="L23">
            <v>1.4282531472328754</v>
          </cell>
          <cell r="M23">
            <v>0.6861581651534443</v>
          </cell>
        </row>
        <row r="24">
          <cell r="A24">
            <v>42</v>
          </cell>
          <cell r="I24">
            <v>12.607475533796443</v>
          </cell>
          <cell r="J24">
            <v>494.75702874240045</v>
          </cell>
          <cell r="L24">
            <v>1.4373232102871576</v>
          </cell>
          <cell r="M24">
            <v>0.71112576086416257</v>
          </cell>
        </row>
        <row r="25">
          <cell r="A25">
            <v>43</v>
          </cell>
          <cell r="I25">
            <v>13.113311002298257</v>
          </cell>
          <cell r="J25">
            <v>505.83546850181364</v>
          </cell>
          <cell r="L25">
            <v>1.4552031291025174</v>
          </cell>
          <cell r="M25">
            <v>0.73609335657487707</v>
          </cell>
        </row>
        <row r="26">
          <cell r="A26">
            <v>44</v>
          </cell>
          <cell r="I26">
            <v>13.630472975408233</v>
          </cell>
          <cell r="J26">
            <v>517.16197310997711</v>
          </cell>
          <cell r="L26">
            <v>1.4716104274042321</v>
          </cell>
          <cell r="M26">
            <v>0.76106095228558945</v>
          </cell>
        </row>
        <row r="27">
          <cell r="A27">
            <v>45</v>
          </cell>
          <cell r="I27">
            <v>14.159215072563184</v>
          </cell>
          <cell r="J27">
            <v>528.74209715494931</v>
          </cell>
          <cell r="L27">
            <v>1.4866010333312976</v>
          </cell>
          <cell r="M27">
            <v>0.78602854799630506</v>
          </cell>
        </row>
        <row r="28">
          <cell r="A28">
            <v>46</v>
          </cell>
          <cell r="I28">
            <v>14.69979659216451</v>
          </cell>
          <cell r="J28">
            <v>540.58151960132625</v>
          </cell>
          <cell r="L28">
            <v>1.5002291315935434</v>
          </cell>
          <cell r="M28">
            <v>0.81099614370701578</v>
          </cell>
        </row>
        <row r="29">
          <cell r="A29">
            <v>47</v>
          </cell>
          <cell r="I29">
            <v>15.252482638739773</v>
          </cell>
          <cell r="J29">
            <v>552.68604657526237</v>
          </cell>
          <cell r="L29">
            <v>1.5193234639767439</v>
          </cell>
          <cell r="M29">
            <v>0.83970887877433964</v>
          </cell>
        </row>
        <row r="30">
          <cell r="A30">
            <v>48</v>
          </cell>
          <cell r="I30">
            <v>15.817544252951569</v>
          </cell>
          <cell r="J30">
            <v>565.06161421179581</v>
          </cell>
          <cell r="L30">
            <v>1.5368618076331808</v>
          </cell>
          <cell r="M30">
            <v>0.8684216138416635</v>
          </cell>
        </row>
        <row r="31">
          <cell r="A31">
            <v>49</v>
          </cell>
          <cell r="I31">
            <v>16.395258544517571</v>
          </cell>
          <cell r="J31">
            <v>577.71429156600016</v>
          </cell>
          <cell r="L31">
            <v>1.5529031599289957</v>
          </cell>
          <cell r="M31">
            <v>0.8971343489089828</v>
          </cell>
        </row>
        <row r="32">
          <cell r="A32">
            <v>50</v>
          </cell>
          <cell r="I32">
            <v>16.985908828106837</v>
          </cell>
          <cell r="J32">
            <v>590.65028358926713</v>
          </cell>
          <cell r="L32">
            <v>1.5675046803501234</v>
          </cell>
          <cell r="M32">
            <v>0.92584708397630389</v>
          </cell>
        </row>
        <row r="33">
          <cell r="A33">
            <v>51</v>
          </cell>
          <cell r="I33">
            <v>17.589784762279088</v>
          </cell>
          <cell r="J33">
            <v>603.87593417225048</v>
          </cell>
          <cell r="L33">
            <v>1.5807217427070732</v>
          </cell>
          <cell r="M33">
            <v>0.95455981904362164</v>
          </cell>
        </row>
        <row r="34">
          <cell r="A34">
            <v>52</v>
          </cell>
          <cell r="I34">
            <v>18.207182491535068</v>
          </cell>
          <cell r="J34">
            <v>617.39772925597924</v>
          </cell>
          <cell r="L34">
            <v>1.5926079859345812</v>
          </cell>
          <cell r="M34">
            <v>0.98327255411094894</v>
          </cell>
        </row>
        <row r="35">
          <cell r="A35">
            <v>53</v>
          </cell>
          <cell r="I35">
            <v>18.838404791547614</v>
          </cell>
          <cell r="J35">
            <v>631.22230001254695</v>
          </cell>
          <cell r="L35">
            <v>1.603215363522736</v>
          </cell>
          <cell r="M35">
            <v>1.011985289178273</v>
          </cell>
        </row>
        <row r="36">
          <cell r="A36">
            <v>54</v>
          </cell>
          <cell r="I36">
            <v>19.483761217644759</v>
          </cell>
          <cell r="J36">
            <v>645.35642609714625</v>
          </cell>
          <cell r="L36">
            <v>1.6125941916148576</v>
          </cell>
          <cell r="M36">
            <v>1.0406980242455812</v>
          </cell>
        </row>
        <row r="37">
          <cell r="A37">
            <v>55</v>
          </cell>
          <cell r="I37">
            <v>20.14356825661757</v>
          </cell>
          <cell r="J37">
            <v>659.80703897281091</v>
          </cell>
          <cell r="L37">
            <v>1.6245772711863371</v>
          </cell>
          <cell r="M37">
            <v>1.0719075188839864</v>
          </cell>
        </row>
        <row r="38">
          <cell r="A38">
            <v>56</v>
          </cell>
          <cell r="I38">
            <v>20.818149481927207</v>
          </cell>
          <cell r="J38">
            <v>674.58122530963681</v>
          </cell>
          <cell r="L38">
            <v>1.6352619553205532</v>
          </cell>
          <cell r="M38">
            <v>1.1031170135223713</v>
          </cell>
        </row>
        <row r="39">
          <cell r="A39">
            <v>57</v>
          </cell>
          <cell r="I39">
            <v>21.507835712387397</v>
          </cell>
          <cell r="J39">
            <v>689.68623046019115</v>
          </cell>
          <cell r="L39">
            <v>1.65374971503695</v>
          </cell>
          <cell r="M39">
            <v>1.1405684070884494</v>
          </cell>
        </row>
        <row r="40">
          <cell r="A40">
            <v>58</v>
          </cell>
          <cell r="I40">
            <v>22.212965174399994</v>
          </cell>
          <cell r="J40">
            <v>705.12946201259535</v>
          </cell>
          <cell r="L40">
            <v>1.6706432848404646</v>
          </cell>
          <cell r="M40">
            <v>1.178019800654512</v>
          </cell>
        </row>
        <row r="41">
          <cell r="A41">
            <v>59</v>
          </cell>
          <cell r="I41">
            <v>22.93388366782332</v>
          </cell>
          <cell r="J41">
            <v>720.91849342332796</v>
          </cell>
          <cell r="L41">
            <v>1.6860036263584384</v>
          </cell>
          <cell r="M41">
            <v>1.2154711942205929</v>
          </cell>
        </row>
        <row r="42">
          <cell r="A42">
            <v>60</v>
          </cell>
          <cell r="I42">
            <v>23.670531862824131</v>
          </cell>
          <cell r="J42">
            <v>736.64819500081035</v>
          </cell>
          <cell r="L42">
            <v>1.6891428821510732</v>
          </cell>
          <cell r="M42">
            <v>1.2443040552350546</v>
          </cell>
        </row>
        <row r="43">
          <cell r="A43">
            <v>61</v>
          </cell>
          <cell r="I43">
            <v>24.402792160777569</v>
          </cell>
          <cell r="J43">
            <v>732.26029795343754</v>
          </cell>
          <cell r="L43">
            <v>1.7265746879650576</v>
          </cell>
          <cell r="M43">
            <v>1.2643020954481565</v>
          </cell>
        </row>
        <row r="44">
          <cell r="A44">
            <v>62</v>
          </cell>
          <cell r="I44">
            <v>25.14466831357106</v>
          </cell>
          <cell r="J44">
            <v>741.87615279349177</v>
          </cell>
          <cell r="L44">
            <v>1.7494064849236597</v>
          </cell>
          <cell r="M44">
            <v>1.2978429527071502</v>
          </cell>
        </row>
        <row r="45">
          <cell r="A45">
            <v>63</v>
          </cell>
          <cell r="I45">
            <v>25.896018768467133</v>
          </cell>
          <cell r="J45">
            <v>751.35045489607387</v>
          </cell>
          <cell r="L45">
            <v>1.7721275453847876</v>
          </cell>
          <cell r="M45">
            <v>1.331488837358723</v>
          </cell>
        </row>
        <row r="46">
          <cell r="A46">
            <v>64</v>
          </cell>
          <cell r="I46">
            <v>26.656700581284369</v>
          </cell>
          <cell r="J46">
            <v>760.68181281723662</v>
          </cell>
          <cell r="L46">
            <v>1.7947279632507784</v>
          </cell>
          <cell r="M46">
            <v>1.3652169205993887</v>
          </cell>
        </row>
        <row r="47">
          <cell r="A47">
            <v>65</v>
          </cell>
          <cell r="I47">
            <v>27.426569496423074</v>
          </cell>
          <cell r="J47">
            <v>769.86891513870603</v>
          </cell>
          <cell r="L47">
            <v>1.8171983273564183</v>
          </cell>
          <cell r="M47">
            <v>1.3990045048737569</v>
          </cell>
        </row>
        <row r="48">
          <cell r="A48">
            <v>66</v>
          </cell>
          <cell r="I48">
            <v>28.205480026365038</v>
          </cell>
          <cell r="J48">
            <v>778.910529941964</v>
          </cell>
          <cell r="L48">
            <v>1.8395297198304357</v>
          </cell>
          <cell r="M48">
            <v>1.432829068917117</v>
          </cell>
        </row>
        <row r="49">
          <cell r="A49">
            <v>67</v>
          </cell>
          <cell r="I49">
            <v>28.993285530607938</v>
          </cell>
          <cell r="J49">
            <v>787.80550424290038</v>
          </cell>
          <cell r="L49">
            <v>1.8617137150073881</v>
          </cell>
          <cell r="M49">
            <v>1.4666683120073187</v>
          </cell>
        </row>
        <row r="50">
          <cell r="A50">
            <v>68</v>
          </cell>
          <cell r="I50">
            <v>29.789838293995057</v>
          </cell>
          <cell r="J50">
            <v>796.5527633871194</v>
          </cell>
          <cell r="L50">
            <v>1.8837423786738501</v>
          </cell>
          <cell r="M50">
            <v>1.5005001972420808</v>
          </cell>
        </row>
        <row r="51">
          <cell r="A51">
            <v>69</v>
          </cell>
          <cell r="I51">
            <v>30.594989604399938</v>
          </cell>
          <cell r="J51">
            <v>805.15131040488041</v>
          </cell>
          <cell r="L51">
            <v>1.9056082674623489</v>
          </cell>
          <cell r="M51">
            <v>1.534302993665684</v>
          </cell>
        </row>
        <row r="52">
          <cell r="A52">
            <v>70</v>
          </cell>
          <cell r="I52">
            <v>31.40858982972696</v>
          </cell>
          <cell r="J52">
            <v>813.60022532702158</v>
          </cell>
          <cell r="L52">
            <v>1.9273044282249521</v>
          </cell>
          <cell r="M52">
            <v>1.5680553170775875</v>
          </cell>
        </row>
        <row r="53">
          <cell r="A53">
            <v>71</v>
          </cell>
          <cell r="I53">
            <v>32.230488494187775</v>
          </cell>
          <cell r="J53">
            <v>821.89866446081169</v>
          </cell>
          <cell r="L53">
            <v>1.9488243972440411</v>
          </cell>
          <cell r="M53">
            <v>1.6017361693635239</v>
          </cell>
        </row>
        <row r="54">
          <cell r="A54">
            <v>72</v>
          </cell>
          <cell r="I54">
            <v>33.06053435381525</v>
          </cell>
          <cell r="J54">
            <v>830.04585962747421</v>
          </cell>
          <cell r="L54">
            <v>1.9701621991543974</v>
          </cell>
          <cell r="M54">
            <v>1.6353249762026669</v>
          </cell>
        </row>
        <row r="55">
          <cell r="A55">
            <v>73</v>
          </cell>
          <cell r="I55">
            <v>33.898575471175953</v>
          </cell>
          <cell r="J55">
            <v>838.04111736070479</v>
          </cell>
          <cell r="L55">
            <v>1.9913123454701303</v>
          </cell>
          <cell r="M55">
            <v>1.6688016230119536</v>
          </cell>
        </row>
        <row r="56">
          <cell r="A56">
            <v>74</v>
          </cell>
          <cell r="I56">
            <v>34.744459289243714</v>
          </cell>
          <cell r="J56">
            <v>845.88381806776204</v>
          </cell>
          <cell r="L56">
            <v>2.0122698326255914</v>
          </cell>
          <cell r="M56">
            <v>1.7021464890039117</v>
          </cell>
        </row>
        <row r="57">
          <cell r="A57">
            <v>75</v>
          </cell>
          <cell r="I57">
            <v>35.598032704397355</v>
          </cell>
          <cell r="J57">
            <v>853.57341515364237</v>
          </cell>
          <cell r="L57">
            <v>2.033030139454457</v>
          </cell>
          <cell r="M57">
            <v>1.7353404792444265</v>
          </cell>
        </row>
        <row r="58">
          <cell r="A58">
            <v>76</v>
          </cell>
          <cell r="I58">
            <v>36.459142138506365</v>
          </cell>
          <cell r="J58">
            <v>861.10943410901109</v>
          </cell>
          <cell r="L58">
            <v>2.0535892240463349</v>
          </cell>
          <cell r="M58">
            <v>1.7683650546109029</v>
          </cell>
        </row>
        <row r="59">
          <cell r="A59">
            <v>77</v>
          </cell>
          <cell r="I59">
            <v>37.327633610069732</v>
          </cell>
          <cell r="J59">
            <v>868.49147156336937</v>
          </cell>
          <cell r="L59">
            <v>2.0739435199308844</v>
          </cell>
          <cell r="M59">
            <v>1.8012022595640877</v>
          </cell>
        </row>
        <row r="60">
          <cell r="A60">
            <v>78</v>
          </cell>
          <cell r="I60">
            <v>38.203352804373694</v>
          </cell>
          <cell r="J60">
            <v>875.71919430396053</v>
          </cell>
          <cell r="L60">
            <v>2.0940899315541324</v>
          </cell>
          <cell r="M60">
            <v>1.8338347476606205</v>
          </cell>
        </row>
        <row r="61">
          <cell r="A61">
            <v>79</v>
          </cell>
          <cell r="I61">
            <v>39.086145142636056</v>
          </cell>
          <cell r="J61">
            <v>882.79233826236464</v>
          </cell>
          <cell r="L61">
            <v>2.1140258290199005</v>
          </cell>
          <cell r="M61">
            <v>1.8662458047475119</v>
          </cell>
        </row>
        <row r="62">
          <cell r="A62">
            <v>80</v>
          </cell>
          <cell r="I62">
            <v>39.975855850105006</v>
          </cell>
          <cell r="J62">
            <v>889.7107074689535</v>
          </cell>
          <cell r="L62">
            <v>2.1337490420817109</v>
          </cell>
          <cell r="M62">
            <v>1.8984193697917211</v>
          </cell>
        </row>
        <row r="63">
          <cell r="A63">
            <v>81</v>
          </cell>
          <cell r="I63">
            <v>40.872330023082661</v>
          </cell>
          <cell r="J63">
            <v>896.47417297765821</v>
          </cell>
          <cell r="L63">
            <v>2.153257853378221</v>
          </cell>
          <cell r="M63">
            <v>1.930340053314888</v>
          </cell>
        </row>
        <row r="64">
          <cell r="A64">
            <v>82</v>
          </cell>
          <cell r="I64">
            <v>41.775412694843993</v>
          </cell>
          <cell r="J64">
            <v>903.08267176133359</v>
          </cell>
          <cell r="L64">
            <v>2.172550990914401</v>
          </cell>
          <cell r="M64">
            <v>1.96199315341271</v>
          </cell>
        </row>
        <row r="65">
          <cell r="A65">
            <v>83</v>
          </cell>
          <cell r="I65">
            <v>42.684948900423898</v>
          </cell>
          <cell r="J65">
            <v>909.53620557990212</v>
          </cell>
          <cell r="L65">
            <v>2.1916276197986133</v>
          </cell>
          <cell r="M65">
            <v>1.9933646693557432</v>
          </cell>
        </row>
        <row r="66">
          <cell r="A66">
            <v>84</v>
          </cell>
          <cell r="I66">
            <v>43.600783740246122</v>
          </cell>
          <cell r="J66">
            <v>915.83483982222606</v>
          </cell>
          <cell r="L66">
            <v>2.210487333252237</v>
          </cell>
          <cell r="M66">
            <v>2.024441312778122</v>
          </cell>
        </row>
        <row r="67">
          <cell r="A67">
            <v>85</v>
          </cell>
          <cell r="I67">
            <v>44.522762442569473</v>
          </cell>
          <cell r="J67">
            <v>921.97870232335356</v>
          </cell>
          <cell r="L67">
            <v>2.2274948722572119</v>
          </cell>
          <cell r="M67">
            <v>2.0537028317556283</v>
          </cell>
        </row>
        <row r="68">
          <cell r="A68">
            <v>86</v>
          </cell>
          <cell r="I68">
            <v>45.450730424727986</v>
          </cell>
          <cell r="J68">
            <v>927.96798215851663</v>
          </cell>
          <cell r="L68">
            <v>2.2402358187859148</v>
          </cell>
          <cell r="M68">
            <v>2.0788671123179974</v>
          </cell>
        </row>
        <row r="69">
          <cell r="A69">
            <v>87</v>
          </cell>
          <cell r="I69">
            <v>46.38453335314346</v>
          </cell>
          <cell r="J69">
            <v>933.80292841547146</v>
          </cell>
          <cell r="L69">
            <v>2.2529240814291192</v>
          </cell>
          <cell r="M69">
            <v>2.1037871047362477</v>
          </cell>
        </row>
        <row r="70">
          <cell r="A70">
            <v>88</v>
          </cell>
          <cell r="I70">
            <v>47.32401720209009</v>
          </cell>
          <cell r="J70">
            <v>939.48384894662786</v>
          </cell>
          <cell r="L70">
            <v>2.2655627336030042</v>
          </cell>
          <cell r="M70">
            <v>2.1284595969953943</v>
          </cell>
        </row>
        <row r="71">
          <cell r="A71">
            <v>89</v>
          </cell>
          <cell r="I71">
            <v>48.269028311192855</v>
          </cell>
          <cell r="J71">
            <v>945.0111091027668</v>
          </cell>
          <cell r="L71">
            <v>2.2781548620653691</v>
          </cell>
          <cell r="M71">
            <v>2.1528816529082553</v>
          </cell>
        </row>
        <row r="72">
          <cell r="A72">
            <v>90</v>
          </cell>
          <cell r="I72">
            <v>49.219413441641819</v>
          </cell>
          <cell r="J72">
            <v>950.38513044896581</v>
          </cell>
          <cell r="L72">
            <v>2.2907035629609123</v>
          </cell>
          <cell r="M72">
            <v>2.177050604504517</v>
          </cell>
        </row>
        <row r="73">
          <cell r="A73">
            <v>91</v>
          </cell>
          <cell r="I73">
            <v>50.17501983110769</v>
          </cell>
          <cell r="J73">
            <v>955.60638946587244</v>
          </cell>
          <cell r="L73">
            <v>2.3032119381443672</v>
          </cell>
          <cell r="M73">
            <v>2.2009640443848326</v>
          </cell>
        </row>
        <row r="74">
          <cell r="A74">
            <v>92</v>
          </cell>
          <cell r="I74">
            <v>51.135695247343797</v>
          </cell>
          <cell r="J74">
            <v>960.67541623610794</v>
          </cell>
          <cell r="L74">
            <v>2.3156830917671076</v>
          </cell>
          <cell r="M74">
            <v>2.2246198180542835</v>
          </cell>
        </row>
        <row r="75">
          <cell r="A75">
            <v>93</v>
          </cell>
          <cell r="I75">
            <v>52.101288040462279</v>
          </cell>
          <cell r="J75">
            <v>965.59279311848479</v>
          </cell>
          <cell r="L75">
            <v>2.3281201271073413</v>
          </cell>
          <cell r="M75">
            <v>2.2480160162489393</v>
          </cell>
        </row>
        <row r="76">
          <cell r="A76">
            <v>94</v>
          </cell>
          <cell r="I76">
            <v>53.071647193873702</v>
          </cell>
          <cell r="J76">
            <v>970.35915341142197</v>
          </cell>
          <cell r="L76">
            <v>2.3405261436284523</v>
          </cell>
          <cell r="M76">
            <v>2.2711509672686052</v>
          </cell>
        </row>
        <row r="77">
          <cell r="A77">
            <v>95</v>
          </cell>
          <cell r="I77">
            <v>54.046622373879799</v>
          </cell>
          <cell r="J77">
            <v>974.97518000609898</v>
          </cell>
          <cell r="L77">
            <v>2.3529042342533422</v>
          </cell>
          <cell r="M77">
            <v>2.294023229328265</v>
          </cell>
        </row>
        <row r="78">
          <cell r="A78">
            <v>96</v>
          </cell>
          <cell r="I78">
            <v>55.026063977912465</v>
          </cell>
          <cell r="J78">
            <v>979.44160403266255</v>
          </cell>
          <cell r="L78">
            <v>2.3652574828369186</v>
          </cell>
          <cell r="M78">
            <v>2.3166315829400497</v>
          </cell>
        </row>
        <row r="79">
          <cell r="A79">
            <v>97</v>
          </cell>
          <cell r="I79">
            <v>56.009823181411136</v>
          </cell>
          <cell r="J79">
            <v>983.75920349867079</v>
          </cell>
          <cell r="L79">
            <v>2.3775889618298587</v>
          </cell>
          <cell r="M79">
            <v>2.3389750233369733</v>
          </cell>
        </row>
        <row r="80">
          <cell r="A80">
            <v>98</v>
          </cell>
          <cell r="I80">
            <v>56.997751983334716</v>
          </cell>
          <cell r="J80">
            <v>987.92880192358052</v>
          </cell>
          <cell r="L80">
            <v>2.3899017301164216</v>
          </cell>
          <cell r="M80">
            <v>2.3610527529490084</v>
          </cell>
        </row>
        <row r="81">
          <cell r="A81">
            <v>99</v>
          </cell>
          <cell r="I81">
            <v>57.989703250303229</v>
          </cell>
          <cell r="J81">
            <v>991.95126696851401</v>
          </cell>
          <cell r="L81">
            <v>2.4021988310209483</v>
          </cell>
          <cell r="M81">
            <v>2.3828641739415128</v>
          </cell>
        </row>
        <row r="82">
          <cell r="A82">
            <v>100</v>
          </cell>
          <cell r="I82">
            <v>58.985530759367705</v>
          </cell>
          <cell r="J82">
            <v>995.82750906447973</v>
          </cell>
          <cell r="L82">
            <v>2.414483290468755</v>
          </cell>
          <cell r="M82">
            <v>2.4044088808253088</v>
          </cell>
        </row>
        <row r="83">
          <cell r="A83">
            <v>101</v>
          </cell>
          <cell r="I83">
            <v>59.985089239407003</v>
          </cell>
          <cell r="J83">
            <v>999.55848003929498</v>
          </cell>
          <cell r="L83">
            <v>2.426758115294898</v>
          </cell>
          <cell r="M83">
            <v>2.4256866531471921</v>
          </cell>
        </row>
        <row r="84">
          <cell r="A84">
            <v>102</v>
          </cell>
          <cell r="I84">
            <v>60.988234411151886</v>
          </cell>
          <cell r="J84">
            <v>1003.1451717448832</v>
          </cell>
          <cell r="L84">
            <v>2.4390262916913392</v>
          </cell>
          <cell r="M84">
            <v>2.4466974482689938</v>
          </cell>
        </row>
        <row r="85">
          <cell r="A85">
            <v>103</v>
          </cell>
          <cell r="I85">
            <v>61.994823025838571</v>
          </cell>
          <cell r="J85">
            <v>1006.588614686687</v>
          </cell>
          <cell r="L85">
            <v>2.4512907837833633</v>
          </cell>
          <cell r="M85">
            <v>2.4674413942427393</v>
          </cell>
        </row>
        <row r="86">
          <cell r="A86">
            <v>104</v>
          </cell>
          <cell r="I86">
            <v>63.00471290249385</v>
          </cell>
          <cell r="J86">
            <v>1009.8898766552812</v>
          </cell>
          <cell r="L86">
            <v>2.4635545323305745</v>
          </cell>
          <cell r="M86">
            <v>2.4879187827888831</v>
          </cell>
        </row>
        <row r="87">
          <cell r="A87">
            <v>105</v>
          </cell>
          <cell r="I87">
            <v>64.017762963857209</v>
          </cell>
          <cell r="J87">
            <v>1013.0500613633608</v>
          </cell>
          <cell r="L87">
            <v>2.4758204535406265</v>
          </cell>
          <cell r="M87">
            <v>2.5081300623839957</v>
          </cell>
        </row>
        <row r="88">
          <cell r="A88">
            <v>106</v>
          </cell>
          <cell r="I88">
            <v>65.033833270944115</v>
          </cell>
          <cell r="J88">
            <v>1016.0703070869024</v>
          </cell>
          <cell r="L88">
            <v>2.4880914379949082</v>
          </cell>
          <cell r="M88">
            <v>2.528075831463779</v>
          </cell>
        </row>
        <row r="89">
          <cell r="A89">
            <v>107</v>
          </cell>
          <cell r="I89">
            <v>66.052785056257775</v>
          </cell>
          <cell r="J89">
            <v>1018.9517853136582</v>
          </cell>
          <cell r="L89">
            <v>2.5003703496750163</v>
          </cell>
          <cell r="M89">
            <v>2.5477568317466939</v>
          </cell>
        </row>
        <row r="90">
          <cell r="A90">
            <v>108</v>
          </cell>
          <cell r="I90">
            <v>67.074480755657333</v>
          </cell>
          <cell r="J90">
            <v>1021.6956993995605</v>
          </cell>
          <cell r="L90">
            <v>2.5126600250854461</v>
          </cell>
          <cell r="M90">
            <v>2.5671739416829924</v>
          </cell>
        </row>
        <row r="91">
          <cell r="A91">
            <v>109</v>
          </cell>
          <cell r="I91">
            <v>68.098784038890287</v>
          </cell>
          <cell r="J91">
            <v>1024.30328323296</v>
          </cell>
          <cell r="L91">
            <v>2.5249632724698241</v>
          </cell>
          <cell r="M91">
            <v>2.5863281700334797</v>
          </cell>
        </row>
        <row r="92">
          <cell r="A92">
            <v>110</v>
          </cell>
          <cell r="I92">
            <v>69.125559838800044</v>
          </cell>
          <cell r="J92">
            <v>1026.775799909751</v>
          </cell>
          <cell r="L92">
            <v>2.537282871110444</v>
          </cell>
          <cell r="M92">
            <v>2.6052206495817352</v>
          </cell>
        </row>
        <row r="93">
          <cell r="A93">
            <v>111</v>
          </cell>
          <cell r="I93">
            <v>70.154674379218918</v>
          </cell>
          <cell r="J93">
            <v>1029.1145404188671</v>
          </cell>
          <cell r="L93">
            <v>2.5496215707099301</v>
          </cell>
          <cell r="M93">
            <v>2.6238526309831798</v>
          </cell>
        </row>
        <row r="94">
          <cell r="A94">
            <v>112</v>
          </cell>
          <cell r="I94">
            <v>71.185995201558171</v>
          </cell>
          <cell r="J94">
            <v>1031.3208223392469</v>
          </cell>
          <cell r="L94">
            <v>2.5619820908500133</v>
          </cell>
          <cell r="M94">
            <v>2.6422254767538593</v>
          </cell>
        </row>
        <row r="95">
          <cell r="A95">
            <v>113</v>
          </cell>
          <cell r="I95">
            <v>72.219391190108453</v>
          </cell>
          <cell r="J95">
            <v>1033.3959885502834</v>
          </cell>
          <cell r="L95">
            <v>2.5743671205202303</v>
          </cell>
          <cell r="M95">
            <v>2.6603406554013502</v>
          </cell>
        </row>
        <row r="96">
          <cell r="A96">
            <v>114</v>
          </cell>
          <cell r="I96">
            <v>73.254732596063974</v>
          </cell>
          <cell r="J96">
            <v>1035.3414059555155</v>
          </cell>
          <cell r="L96">
            <v>2.5867793177151883</v>
          </cell>
          <cell r="M96">
            <v>2.6781997356998919</v>
          </cell>
        </row>
        <row r="97">
          <cell r="A97">
            <v>115</v>
          </cell>
          <cell r="I97">
            <v>74.2918910602842</v>
          </cell>
          <cell r="J97">
            <v>1037.1584642202283</v>
          </cell>
          <cell r="L97">
            <v>2.599221309096801</v>
          </cell>
          <cell r="M97">
            <v>2.6958043811113295</v>
          </cell>
        </row>
        <row r="98">
          <cell r="A98">
            <v>116</v>
          </cell>
          <cell r="I98">
            <v>75.330739634809746</v>
          </cell>
          <cell r="J98">
            <v>1038.8485745255416</v>
          </cell>
          <cell r="L98">
            <v>2.6116956897132844</v>
          </cell>
          <cell r="M98">
            <v>2.7131563443531466</v>
          </cell>
        </row>
        <row r="99">
          <cell r="A99">
            <v>117</v>
          </cell>
          <cell r="I99">
            <v>76.371152803146828</v>
          </cell>
          <cell r="J99">
            <v>1040.4131683370772</v>
          </cell>
          <cell r="L99">
            <v>2.6242050227779901</v>
          </cell>
          <cell r="M99">
            <v>2.7302574621145208</v>
          </cell>
        </row>
        <row r="100">
          <cell r="A100">
            <v>118</v>
          </cell>
          <cell r="I100">
            <v>77.413006499338422</v>
          </cell>
          <cell r="J100">
            <v>1041.8536961915929</v>
          </cell>
          <cell r="L100">
            <v>2.636751839497967</v>
          </cell>
          <cell r="M100">
            <v>2.7471096499209389</v>
          </cell>
        </row>
        <row r="101">
          <cell r="A101">
            <v>119</v>
          </cell>
          <cell r="I101">
            <v>78.45617812583842</v>
          </cell>
          <cell r="J101">
            <v>1043.1716265000039</v>
          </cell>
          <cell r="L101">
            <v>2.6493386389546614</v>
          </cell>
          <cell r="M101">
            <v>2.7637148971476408</v>
          </cell>
        </row>
        <row r="102">
          <cell r="A102">
            <v>120</v>
          </cell>
          <cell r="I102">
            <v>79.500546570207504</v>
          </cell>
          <cell r="J102">
            <v>1044.3684443690786</v>
          </cell>
          <cell r="L102">
            <v>2.6619678880295417</v>
          </cell>
          <cell r="M102">
            <v>2.7800752621818541</v>
          </cell>
        </row>
        <row r="103">
          <cell r="A103">
            <v>121</v>
          </cell>
          <cell r="I103">
            <v>80.545992220648898</v>
          </cell>
          <cell r="J103">
            <v>1045.445650441399</v>
          </cell>
          <cell r="L103">
            <v>2.6746420213742028</v>
          </cell>
          <cell r="M103">
            <v>2.7961928677334522</v>
          </cell>
        </row>
        <row r="104">
          <cell r="A104">
            <v>122</v>
          </cell>
          <cell r="I104">
            <v>81.592396980403407</v>
          </cell>
          <cell r="J104">
            <v>1046.404759754513</v>
          </cell>
          <cell r="L104">
            <v>2.6873634414212542</v>
          </cell>
          <cell r="M104">
            <v>2.8120698962934685</v>
          </cell>
        </row>
        <row r="105">
          <cell r="A105">
            <v>123</v>
          </cell>
          <cell r="I105">
            <v>82.639644281023266</v>
          </cell>
          <cell r="J105">
            <v>1047.2473006198572</v>
          </cell>
          <cell r="L105">
            <v>2.7001345184331584</v>
          </cell>
          <cell r="M105">
            <v>2.8277085857396234</v>
          </cell>
        </row>
        <row r="106">
          <cell r="A106">
            <v>124</v>
          </cell>
          <cell r="I106">
            <v>83.687619094545013</v>
          </cell>
          <cell r="J106">
            <v>1047.974813521746</v>
          </cell>
          <cell r="L106">
            <v>2.7129575905869423</v>
          </cell>
          <cell r="M106">
            <v>2.8431112250877559</v>
          </cell>
        </row>
        <row r="107">
          <cell r="A107">
            <v>125</v>
          </cell>
          <cell r="I107">
            <v>84.736207944581707</v>
          </cell>
          <cell r="J107">
            <v>1048.5888500366971</v>
          </cell>
          <cell r="L107">
            <v>2.7258349640928121</v>
          </cell>
          <cell r="M107">
            <v>2.8582801503879036</v>
          </cell>
        </row>
        <row r="108">
          <cell r="A108">
            <v>126</v>
          </cell>
          <cell r="I108">
            <v>85.785298916355799</v>
          </cell>
          <cell r="J108">
            <v>1049.0909717740919</v>
          </cell>
          <cell r="L108">
            <v>2.7387689133428399</v>
          </cell>
          <cell r="M108">
            <v>2.8732177407635136</v>
          </cell>
        </row>
        <row r="109">
          <cell r="A109">
            <v>127</v>
          </cell>
          <cell r="I109">
            <v>86.834781665693612</v>
          </cell>
          <cell r="J109">
            <v>1049.4827493378141</v>
          </cell>
          <cell r="L109">
            <v>2.751761681089397</v>
          </cell>
          <cell r="M109">
            <v>2.8879264145921457</v>
          </cell>
        </row>
        <row r="110">
          <cell r="A110">
            <v>128</v>
          </cell>
          <cell r="I110">
            <v>87.884547427003326</v>
          </cell>
          <cell r="J110">
            <v>1049.7657613097092</v>
          </cell>
          <cell r="L110">
            <v>2.7648154786498971</v>
          </cell>
          <cell r="M110">
            <v>2.9024086258257769</v>
          </cell>
        </row>
        <row r="111">
          <cell r="A111">
            <v>129</v>
          </cell>
          <cell r="I111">
            <v>88.934489020257985</v>
          </cell>
          <cell r="J111">
            <v>1049.9415932546642</v>
          </cell>
          <cell r="L111">
            <v>2.7779324861371895</v>
          </cell>
          <cell r="M111">
            <v>2.9166668604487715</v>
          </cell>
        </row>
        <row r="112">
          <cell r="A112">
            <v>130</v>
          </cell>
          <cell r="I112">
            <v>89.984500857006054</v>
          </cell>
          <cell r="J112">
            <v>1050.0118367480736</v>
          </cell>
          <cell r="L112">
            <v>2.7911148527123646</v>
          </cell>
          <cell r="M112">
            <v>2.9307036330713387</v>
          </cell>
        </row>
        <row r="113">
          <cell r="A113">
            <v>131</v>
          </cell>
          <cell r="I113">
            <v>91.0344789454319</v>
          </cell>
          <cell r="J113">
            <v>1049.9780884258464</v>
          </cell>
          <cell r="L113">
            <v>2.8043646968583289</v>
          </cell>
          <cell r="M113">
            <v>2.9445214836562368</v>
          </cell>
        </row>
        <row r="114">
          <cell r="A114">
            <v>132</v>
          </cell>
          <cell r="I114">
            <v>92.084320894488059</v>
          </cell>
          <cell r="J114">
            <v>1049.8419490561612</v>
          </cell>
          <cell r="L114">
            <v>2.8176841066751015</v>
          </cell>
          <cell r="M114">
            <v>2.9581229743763569</v>
          </cell>
        </row>
        <row r="115">
          <cell r="A115">
            <v>133</v>
          </cell>
          <cell r="I115">
            <v>93.133925917123079</v>
          </cell>
          <cell r="J115">
            <v>1049.6050226350139</v>
          </cell>
          <cell r="L115">
            <v>2.8310751401901446</v>
          </cell>
          <cell r="M115">
            <v>2.9715106866007024</v>
          </cell>
        </row>
        <row r="116">
          <cell r="A116">
            <v>134</v>
          </cell>
          <cell r="I116">
            <v>94.183194832626526</v>
          </cell>
          <cell r="J116">
            <v>1049.2689155034493</v>
          </cell>
          <cell r="L116">
            <v>2.8445398256881824</v>
          </cell>
          <cell r="M116">
            <v>2.9846872180062101</v>
          </cell>
        </row>
        <row r="117">
          <cell r="A117">
            <v>135</v>
          </cell>
          <cell r="I117">
            <v>95.23203006811525</v>
          </cell>
          <cell r="J117">
            <v>1048.8352354887288</v>
          </cell>
          <cell r="L117">
            <v>2.8580801620532421</v>
          </cell>
          <cell r="M117">
            <v>2.9976551798127766</v>
          </cell>
        </row>
        <row r="118">
          <cell r="A118">
            <v>136</v>
          </cell>
          <cell r="I118">
            <v>96.280335659182683</v>
          </cell>
          <cell r="J118">
            <v>1048.3055910674311</v>
          </cell>
          <cell r="L118">
            <v>2.8716981191270978</v>
          </cell>
          <cell r="M118">
            <v>3.0104171941387623</v>
          </cell>
        </row>
        <row r="119">
          <cell r="A119">
            <v>137</v>
          </cell>
          <cell r="I119">
            <v>97.32801724973497</v>
          </cell>
          <cell r="J119">
            <v>1047.6815905522858</v>
          </cell>
          <cell r="L119">
            <v>2.8853956380780681</v>
          </cell>
          <cell r="M119">
            <v>3.0229758914742582</v>
          </cell>
        </row>
        <row r="120">
          <cell r="A120">
            <v>138</v>
          </cell>
          <cell r="I120">
            <v>98.374982091036756</v>
          </cell>
          <cell r="J120">
            <v>1046.964841301786</v>
          </cell>
          <cell r="L120">
            <v>2.8991746317814626</v>
          </cell>
          <cell r="M120">
            <v>3.035333908269243</v>
          </cell>
        </row>
        <row r="121">
          <cell r="A121">
            <v>139</v>
          </cell>
          <cell r="I121">
            <v>99.421139039989129</v>
          </cell>
          <cell r="J121">
            <v>1046.1569489523747</v>
          </cell>
          <cell r="L121">
            <v>2.9130369852110749</v>
          </cell>
          <cell r="M121">
            <v>3.047493884633842</v>
          </cell>
        </row>
        <row r="122">
          <cell r="A122">
            <v>140</v>
          </cell>
          <cell r="I122">
            <v>100.46639855666318</v>
          </cell>
          <cell r="J122">
            <v>1045.2595166740514</v>
          </cell>
          <cell r="L122">
            <v>2.9269845558381333</v>
          </cell>
          <cell r="M122">
            <v>3.0594584621477803</v>
          </cell>
        </row>
        <row r="123">
          <cell r="A123">
            <v>141</v>
          </cell>
          <cell r="I123">
            <v>101.51067270111163</v>
          </cell>
          <cell r="J123">
            <v>1044.2741444484448</v>
          </cell>
          <cell r="L123">
            <v>2.9410191740390772</v>
          </cell>
          <cell r="M123">
            <v>3.071230281776129</v>
          </cell>
        </row>
        <row r="124">
          <cell r="A124">
            <v>142</v>
          </cell>
          <cell r="I124">
            <v>102.55387512948163</v>
          </cell>
          <cell r="J124">
            <v>1043.2024283699911</v>
          </cell>
          <cell r="L124">
            <v>2.9551426435091437</v>
          </cell>
          <cell r="M124">
            <v>3.0828119818884541</v>
          </cell>
        </row>
        <row r="125">
          <cell r="A125">
            <v>143</v>
          </cell>
          <cell r="I125">
            <v>103.59592108945067</v>
          </cell>
          <cell r="J125">
            <v>1042.0459599690448</v>
          </cell>
          <cell r="L125">
            <v>2.9693567416837809</v>
          </cell>
          <cell r="M125">
            <v>3.0942061963784306</v>
          </cell>
        </row>
        <row r="126">
          <cell r="A126">
            <v>144</v>
          </cell>
          <cell r="I126">
            <v>104.63672741500888</v>
          </cell>
          <cell r="J126">
            <v>1040.8063255582072</v>
          </cell>
          <cell r="L126">
            <v>2.9836632201630002</v>
          </cell>
          <cell r="M126">
            <v>3.1054155528810203</v>
          </cell>
        </row>
        <row r="127">
          <cell r="A127">
            <v>145</v>
          </cell>
          <cell r="I127">
            <v>105.67621252060964</v>
          </cell>
          <cell r="J127">
            <v>1039.4851056007583</v>
          </cell>
          <cell r="L127">
            <v>2.9980638051405086</v>
          </cell>
          <cell r="M127">
            <v>3.1164426710842932</v>
          </cell>
        </row>
        <row r="128">
          <cell r="A128">
            <v>146</v>
          </cell>
          <cell r="I128">
            <v>106.71429639471022</v>
          </cell>
          <cell r="J128">
            <v>1038.0838741005823</v>
          </cell>
          <cell r="L128">
            <v>3.0125601978380878</v>
          </cell>
          <cell r="M128">
            <v>3.1272901611329784</v>
          </cell>
        </row>
        <row r="129">
          <cell r="A129">
            <v>147</v>
          </cell>
          <cell r="I129">
            <v>107.75090059272532</v>
          </cell>
          <cell r="J129">
            <v>1036.6041980150915</v>
          </cell>
          <cell r="L129">
            <v>3.0271540749396162</v>
          </cell>
          <cell r="M129">
            <v>3.1379606221208971</v>
          </cell>
        </row>
        <row r="130">
          <cell r="A130">
            <v>148</v>
          </cell>
          <cell r="I130">
            <v>108.78594822941444</v>
          </cell>
          <cell r="J130">
            <v>1035.0476366891253</v>
          </cell>
          <cell r="L130">
            <v>3.0418470890292197</v>
          </cell>
          <cell r="M130">
            <v>3.148456640669389</v>
          </cell>
        </row>
        <row r="131">
          <cell r="A131">
            <v>149</v>
          </cell>
          <cell r="I131">
            <v>109.81936397072496</v>
          </cell>
          <cell r="J131">
            <v>1033.415741310517</v>
          </cell>
          <cell r="L131">
            <v>3.0566408690302409</v>
          </cell>
          <cell r="M131">
            <v>3.1587807895889091</v>
          </cell>
        </row>
        <row r="132">
          <cell r="A132">
            <v>150</v>
          </cell>
          <cell r="I132">
            <v>110.85107402511181</v>
          </cell>
          <cell r="J132">
            <v>1031.7100543868532</v>
          </cell>
          <cell r="L132">
            <v>3.0715370206450987</v>
          </cell>
          <cell r="M132">
            <v>3.1689356266209878</v>
          </cell>
        </row>
        <row r="133">
          <cell r="A133">
            <v>151</v>
          </cell>
          <cell r="I133">
            <v>111.8810061343554</v>
          </cell>
          <cell r="J133">
            <v>1029.93210924359</v>
          </cell>
          <cell r="L133">
            <v>3.0865371267941883</v>
          </cell>
          <cell r="M133">
            <v>3.1789236932577882</v>
          </cell>
        </row>
        <row r="134">
          <cell r="A134">
            <v>152</v>
          </cell>
          <cell r="I134">
            <v>112.90908956389777</v>
          </cell>
          <cell r="J134">
            <v>1028.083429542359</v>
          </cell>
          <cell r="L134">
            <v>3.1016427480559448</v>
          </cell>
          <cell r="M134">
            <v>3.1887475136365429</v>
          </cell>
        </row>
        <row r="135">
          <cell r="A135">
            <v>153</v>
          </cell>
          <cell r="I135">
            <v>113.93525509271778</v>
          </cell>
          <cell r="J135">
            <v>1026.1655288200163</v>
          </cell>
          <cell r="L135">
            <v>3.1168554231050729</v>
          </cell>
          <cell r="M135">
            <v>3.1984095935061534</v>
          </cell>
        </row>
        <row r="136">
          <cell r="A136">
            <v>154</v>
          </cell>
          <cell r="I136">
            <v>114.95943500276545</v>
          </cell>
          <cell r="J136">
            <v>1024.1799100476649</v>
          </cell>
          <cell r="L136">
            <v>3.1321766691498918</v>
          </cell>
          <cell r="M136">
            <v>3.207912419263331</v>
          </cell>
        </row>
        <row r="137">
          <cell r="A137">
            <v>155</v>
          </cell>
          <cell r="I137">
            <v>115.9815630679752</v>
          </cell>
          <cell r="J137">
            <v>1022.1280652097618</v>
          </cell>
          <cell r="L137">
            <v>3.1476079823670946</v>
          </cell>
          <cell r="M137">
            <v>3.2172584570556801</v>
          </cell>
        </row>
        <row r="138">
          <cell r="A138">
            <v>156</v>
          </cell>
          <cell r="I138">
            <v>117.00157454287786</v>
          </cell>
          <cell r="J138">
            <v>1020.0114749026646</v>
          </cell>
          <cell r="L138">
            <v>3.1631508383344755</v>
          </cell>
          <cell r="M138">
            <v>3.2264501519491486</v>
          </cell>
        </row>
        <row r="139">
          <cell r="A139">
            <v>157</v>
          </cell>
          <cell r="I139">
            <v>118.01940615082965</v>
          </cell>
          <cell r="J139">
            <v>1017.8316079517913</v>
          </cell>
          <cell r="L139">
            <v>3.1788066924628491</v>
          </cell>
          <cell r="M139">
            <v>3.2354899271573774</v>
          </cell>
        </row>
        <row r="140">
          <cell r="A140">
            <v>158</v>
          </cell>
          <cell r="I140">
            <v>119.03499607187831</v>
          </cell>
          <cell r="J140">
            <v>1015.5899210486572</v>
          </cell>
          <cell r="L140">
            <v>3.194576980421838</v>
          </cell>
          <cell r="M140">
            <v>3.2443801833304722</v>
          </cell>
        </row>
        <row r="141">
          <cell r="A141">
            <v>159</v>
          </cell>
          <cell r="I141">
            <v>120.048283930284</v>
          </cell>
          <cell r="J141">
            <v>1013.2878584056954</v>
          </cell>
          <cell r="L141">
            <v>3.2104631185646348</v>
          </cell>
          <cell r="M141">
            <v>3.2531232979008293</v>
          </cell>
        </row>
        <row r="142">
          <cell r="A142">
            <v>160</v>
          </cell>
          <cell r="I142">
            <v>121.05921078171323</v>
          </cell>
          <cell r="J142">
            <v>1010.9268514292324</v>
          </cell>
          <cell r="L142">
            <v>3.226466504349236</v>
          </cell>
          <cell r="M142">
            <v>3.2617216244836551</v>
          </cell>
        </row>
        <row r="143">
          <cell r="A143">
            <v>161</v>
          </cell>
          <cell r="I143">
            <v>122.06771910012414</v>
          </cell>
          <cell r="J143">
            <v>1008.5083184109026</v>
          </cell>
          <cell r="L143">
            <v>3.2425885167538206</v>
          </cell>
          <cell r="M143">
            <v>3.2701774923298985</v>
          </cell>
        </row>
        <row r="144">
          <cell r="A144">
            <v>162</v>
          </cell>
          <cell r="I144">
            <v>123.07375276435988</v>
          </cell>
          <cell r="J144">
            <v>1006.0336642357466</v>
          </cell>
          <cell r="L144">
            <v>3.2588305166904603</v>
          </cell>
          <cell r="M144">
            <v>3.278493205829375</v>
          </cell>
        </row>
        <row r="145">
          <cell r="A145">
            <v>163</v>
          </cell>
          <cell r="I145">
            <v>124.0772570444679</v>
          </cell>
          <cell r="J145">
            <v>1003.5042801080131</v>
          </cell>
          <cell r="L145">
            <v>3.2751938474125342</v>
          </cell>
          <cell r="M145">
            <v>3.2866710440619085</v>
          </cell>
        </row>
        <row r="146">
          <cell r="A146">
            <v>164</v>
          </cell>
          <cell r="I146">
            <v>125.07817858776107</v>
          </cell>
          <cell r="J146">
            <v>1000.9215432931733</v>
          </cell>
          <cell r="L146">
            <v>3.291679834919226</v>
          </cell>
          <cell r="M146">
            <v>3.2947132603943694</v>
          </cell>
        </row>
        <row r="147">
          <cell r="A147">
            <v>165</v>
          </cell>
          <cell r="I147">
            <v>126.07646540463793</v>
          </cell>
          <cell r="J147">
            <v>998.28681687685571</v>
          </cell>
          <cell r="L147">
            <v>3.3082897883534419</v>
          </cell>
          <cell r="M147">
            <v>3.3026220821215642</v>
          </cell>
        </row>
        <row r="148">
          <cell r="A148">
            <v>166</v>
          </cell>
          <cell r="I148">
            <v>127.07206685417727</v>
          </cell>
          <cell r="J148">
            <v>995.60144953933639</v>
          </cell>
          <cell r="L148">
            <v>3.3250250003961783</v>
          </cell>
          <cell r="M148">
            <v>3.3103997101489675</v>
          </cell>
        </row>
        <row r="149">
          <cell r="A149">
            <v>167</v>
          </cell>
          <cell r="I149">
            <v>128.06493362952295</v>
          </cell>
          <cell r="J149">
            <v>992.86677534569526</v>
          </cell>
          <cell r="L149">
            <v>3.3418867476556384</v>
          </cell>
          <cell r="M149">
            <v>3.3180483187153671</v>
          </cell>
        </row>
        <row r="150">
          <cell r="A150">
            <v>168</v>
          </cell>
          <cell r="I150">
            <v>129.05501774307433</v>
          </cell>
          <cell r="J150">
            <v>990.08411355138765</v>
          </cell>
          <cell r="L150">
            <v>3.358876291050517</v>
          </cell>
          <cell r="M150">
            <v>3.3255700551535234</v>
          </cell>
        </row>
        <row r="151">
          <cell r="A151">
            <v>169</v>
          </cell>
          <cell r="I151">
            <v>130.04227251149712</v>
          </cell>
          <cell r="J151">
            <v>987.25476842279204</v>
          </cell>
          <cell r="L151">
            <v>3.3759948761874985</v>
          </cell>
          <cell r="M151">
            <v>3.3329670396870212</v>
          </cell>
        </row>
        <row r="152">
          <cell r="A152">
            <v>170</v>
          </cell>
          <cell r="I152">
            <v>131.0266525405687</v>
          </cell>
          <cell r="J152">
            <v>984.38002907157545</v>
          </cell>
          <cell r="L152">
            <v>3.3932437337355745</v>
          </cell>
          <cell r="M152">
            <v>3.3402413652615661</v>
          </cell>
        </row>
        <row r="153">
          <cell r="A153">
            <v>171</v>
          </cell>
          <cell r="I153">
            <v>132.00811370987273</v>
          </cell>
          <cell r="J153">
            <v>981.46116930403548</v>
          </cell>
          <cell r="L153">
            <v>3.410624079791821</v>
          </cell>
          <cell r="M153">
            <v>3.3473950974089806</v>
          </cell>
        </row>
        <row r="154">
          <cell r="A154">
            <v>172</v>
          </cell>
          <cell r="I154">
            <v>132.98661315735637</v>
          </cell>
          <cell r="J154">
            <v>978.4994474836476</v>
          </cell>
          <cell r="L154">
            <v>3.4281371162432976</v>
          </cell>
          <cell r="M154">
            <v>3.3544302741422518</v>
          </cell>
        </row>
        <row r="155">
          <cell r="A155">
            <v>173</v>
          </cell>
          <cell r="I155">
            <v>133.96210926376344</v>
          </cell>
          <cell r="J155">
            <v>975.49610640705532</v>
          </cell>
          <cell r="L155">
            <v>3.4457840311229528</v>
          </cell>
          <cell r="M155">
            <v>3.3613489058800479</v>
          </cell>
        </row>
        <row r="156">
          <cell r="A156">
            <v>174</v>
          </cell>
          <cell r="I156">
            <v>134.93456163695649</v>
          </cell>
          <cell r="J156">
            <v>972.4523731930617</v>
          </cell>
          <cell r="L156">
            <v>3.4635659989596714</v>
          </cell>
          <cell r="M156">
            <v>3.3681529753991297</v>
          </cell>
        </row>
        <row r="157">
          <cell r="A157">
            <v>175</v>
          </cell>
          <cell r="I157">
            <v>135.90393109614087</v>
          </cell>
          <cell r="J157">
            <v>969.36945918437345</v>
          </cell>
          <cell r="L157">
            <v>3.4814841811219921</v>
          </cell>
          <cell r="M157">
            <v>3.3748444378131768</v>
          </cell>
        </row>
        <row r="158">
          <cell r="A158">
            <v>176</v>
          </cell>
          <cell r="I158">
            <v>136.87017965600234</v>
          </cell>
          <cell r="J158">
            <v>966.24855986147008</v>
          </cell>
          <cell r="L158">
            <v>3.4995397261563528</v>
          </cell>
          <cell r="M158">
            <v>3.3814252205765789</v>
          </cell>
        </row>
        <row r="159">
          <cell r="A159">
            <v>177</v>
          </cell>
          <cell r="I159">
            <v>137.83327051077052</v>
          </cell>
          <cell r="J159">
            <v>963.09085476817563</v>
          </cell>
          <cell r="L159">
            <v>3.5177337701200795</v>
          </cell>
          <cell r="M159">
            <v>3.3878972235118248</v>
          </cell>
        </row>
        <row r="160">
          <cell r="A160">
            <v>178</v>
          </cell>
          <cell r="I160">
            <v>138.7931680182196</v>
          </cell>
          <cell r="J160">
            <v>959.89750744907383</v>
          </cell>
          <cell r="L160">
            <v>3.5360674369072491</v>
          </cell>
          <cell r="M160">
            <v>3.3942623188591039</v>
          </cell>
        </row>
        <row r="161">
          <cell r="A161">
            <v>179</v>
          </cell>
          <cell r="I161">
            <v>139.74983768361761</v>
          </cell>
          <cell r="J161">
            <v>956.66966539799887</v>
          </cell>
          <cell r="L161">
            <v>3.5545418385688858</v>
          </cell>
          <cell r="M161">
            <v>3.4005223513468841</v>
          </cell>
        </row>
        <row r="162">
          <cell r="A162">
            <v>180</v>
          </cell>
          <cell r="I162">
            <v>140.70324614363457</v>
          </cell>
          <cell r="J162">
            <v>953.40846001695922</v>
          </cell>
          <cell r="L162">
            <v>3.5731580756285632</v>
          </cell>
          <cell r="M162">
            <v>3.4066791382821902</v>
          </cell>
        </row>
        <row r="163">
          <cell r="A163">
            <v>181</v>
          </cell>
          <cell r="I163">
            <v>141.65336115022077</v>
          </cell>
          <cell r="J163">
            <v>950.11500658620082</v>
          </cell>
          <cell r="L163">
            <v>3.591917237389485</v>
          </cell>
          <cell r="M163">
            <v>3.4127344696593989</v>
          </cell>
        </row>
        <row r="164">
          <cell r="A164">
            <v>182</v>
          </cell>
          <cell r="I164">
            <v>142.60015155446428</v>
          </cell>
          <cell r="J164">
            <v>946.79040424349625</v>
          </cell>
          <cell r="L164">
            <v>3.6108204022388812</v>
          </cell>
          <cell r="M164">
            <v>3.4186901082864143</v>
          </cell>
        </row>
        <row r="165">
          <cell r="A165">
            <v>183</v>
          </cell>
          <cell r="I165">
            <v>143.54358729043835</v>
          </cell>
          <cell r="J165">
            <v>943.43573597408795</v>
          </cell>
          <cell r="L165">
            <v>3.6298686379431007</v>
          </cell>
          <cell r="M165">
            <v>3.4245477899271091</v>
          </cell>
        </row>
        <row r="166">
          <cell r="A166">
            <v>184</v>
          </cell>
          <cell r="I166">
            <v>144.48363935904754</v>
          </cell>
          <cell r="J166">
            <v>940.0520686091993</v>
          </cell>
          <cell r="L166">
            <v>3.6490630019399912</v>
          </cell>
          <cell r="M166">
            <v>3.4303092234589836</v>
          </cell>
        </row>
        <row r="167">
          <cell r="A167">
            <v>185</v>
          </cell>
          <cell r="I167">
            <v>145.42027981188173</v>
          </cell>
          <cell r="J167">
            <v>936.64045283419694</v>
          </cell>
          <cell r="L167">
            <v>3.6684045416232496</v>
          </cell>
          <cell r="M167">
            <v>3.435976091045025</v>
          </cell>
        </row>
        <row r="168">
          <cell r="A168">
            <v>186</v>
          </cell>
          <cell r="I168">
            <v>146.35348173508712</v>
          </cell>
          <cell r="J168">
            <v>933.20192320538456</v>
          </cell>
          <cell r="L168">
            <v>3.6878942946213482</v>
          </cell>
          <cell r="M168">
            <v>3.4415500483188071</v>
          </cell>
        </row>
        <row r="169">
          <cell r="A169">
            <v>187</v>
          </cell>
          <cell r="I169">
            <v>147.283219233262</v>
          </cell>
          <cell r="J169">
            <v>929.73749817487965</v>
          </cell>
          <cell r="L169">
            <v>3.707533289071995</v>
          </cell>
          <cell r="M169">
            <v>3.447032724581879</v>
          </cell>
        </row>
        <row r="170">
          <cell r="A170">
            <v>188</v>
          </cell>
          <cell r="I170">
            <v>148.20946741338614</v>
          </cell>
          <cell r="J170">
            <v>926.24818012413937</v>
          </cell>
          <cell r="L170">
            <v>3.7273225438886963</v>
          </cell>
          <cell r="M170">
            <v>3.4524257230125825</v>
          </cell>
        </row>
        <row r="171">
          <cell r="A171">
            <v>189</v>
          </cell>
          <cell r="I171">
            <v>149.13220236879067</v>
          </cell>
          <cell r="J171">
            <v>922.73495540453393</v>
          </cell>
          <cell r="L171">
            <v>3.7472630690245361</v>
          </cell>
          <cell r="M171">
            <v>3.4577306208854126</v>
          </cell>
        </row>
        <row r="172">
          <cell r="A172">
            <v>190</v>
          </cell>
          <cell r="I172">
            <v>150.05140116317699</v>
          </cell>
          <cell r="J172">
            <v>919.19879438631892</v>
          </cell>
          <cell r="L172">
            <v>3.7673558657266248</v>
          </cell>
          <cell r="M172">
            <v>3.4629489698001406</v>
          </cell>
        </row>
        <row r="173">
          <cell r="A173">
            <v>191</v>
          </cell>
          <cell r="I173">
            <v>150.9670418146909</v>
          </cell>
          <cell r="J173">
            <v>915.64065151390355</v>
          </cell>
          <cell r="L173">
            <v>3.7876019267884624</v>
          </cell>
          <cell r="M173">
            <v>3.468082295919904</v>
          </cell>
        </row>
        <row r="174">
          <cell r="A174">
            <v>192</v>
          </cell>
          <cell r="I174">
            <v>151.87910328005927</v>
          </cell>
          <cell r="J174">
            <v>912.06146536835786</v>
          </cell>
          <cell r="L174">
            <v>3.8080022367953066</v>
          </cell>
          <cell r="M174">
            <v>3.4731321002175117</v>
          </cell>
        </row>
        <row r="175">
          <cell r="A175">
            <v>193</v>
          </cell>
          <cell r="I175">
            <v>152.78756543879592</v>
          </cell>
          <cell r="J175">
            <v>908.46215873665551</v>
          </cell>
          <cell r="L175">
            <v>3.828557772363443</v>
          </cell>
          <cell r="M175">
            <v>3.4780998587292946</v>
          </cell>
        </row>
        <row r="176">
          <cell r="A176">
            <v>194</v>
          </cell>
          <cell r="I176">
            <v>153.69240907748286</v>
          </cell>
          <cell r="J176">
            <v>904.8436386869322</v>
          </cell>
          <cell r="L176">
            <v>3.8492695023751509</v>
          </cell>
          <cell r="M176">
            <v>3.4829870228157684</v>
          </cell>
        </row>
        <row r="177">
          <cell r="A177">
            <v>195</v>
          </cell>
          <cell r="I177">
            <v>154.59361587413269</v>
          </cell>
          <cell r="J177">
            <v>901.20679664982276</v>
          </cell>
          <cell r="L177">
            <v>3.8701383882081024</v>
          </cell>
          <cell r="M177">
            <v>3.4877950194285323</v>
          </cell>
        </row>
        <row r="178">
          <cell r="A178">
            <v>196</v>
          </cell>
          <cell r="I178">
            <v>155.49116838263814</v>
          </cell>
          <cell r="J178">
            <v>897.55250850543791</v>
          </cell>
          <cell r="L178">
            <v>3.8911653839599016</v>
          </cell>
          <cell r="M178">
            <v>3.4925252513827352</v>
          </cell>
        </row>
        <row r="179">
          <cell r="A179">
            <v>197</v>
          </cell>
          <cell r="I179">
            <v>156.38505001731437</v>
          </cell>
          <cell r="J179">
            <v>893.88163467623122</v>
          </cell>
          <cell r="L179">
            <v>3.9123514366656083</v>
          </cell>
          <cell r="M179">
            <v>3.4971790976345556</v>
          </cell>
        </row>
        <row r="180">
          <cell r="A180">
            <v>198</v>
          </cell>
          <cell r="I180">
            <v>157.27524503753878</v>
          </cell>
          <cell r="J180">
            <v>890.19502022440906</v>
          </cell>
          <cell r="L180">
            <v>3.9336974865129934</v>
          </cell>
          <cell r="M180">
            <v>3.5017579135631416</v>
          </cell>
        </row>
        <row r="181">
          <cell r="A181">
            <v>199</v>
          </cell>
          <cell r="I181">
            <v>158.1617385324935</v>
          </cell>
          <cell r="J181">
            <v>886.49349495472995</v>
          </cell>
          <cell r="L181">
            <v>3.9552044670508533</v>
          </cell>
          <cell r="M181">
            <v>3.5062630312564709</v>
          </cell>
        </row>
        <row r="182">
          <cell r="A182">
            <v>200</v>
          </cell>
          <cell r="I182">
            <v>159.04451640601536</v>
          </cell>
          <cell r="J182">
            <v>882.77787352184669</v>
          </cell>
          <cell r="L182">
            <v>3.9768733053930254</v>
          </cell>
          <cell r="M182">
            <v>3.5106957598006527</v>
          </cell>
        </row>
        <row r="183">
          <cell r="A183">
            <v>201</v>
          </cell>
          <cell r="I183" t="str">
            <v/>
          </cell>
          <cell r="J183" t="str">
            <v/>
          </cell>
          <cell r="L183" t="str">
            <v/>
          </cell>
          <cell r="M183" t="str">
            <v/>
          </cell>
        </row>
        <row r="184">
          <cell r="A184">
            <v>202</v>
          </cell>
          <cell r="I184" t="str">
            <v/>
          </cell>
          <cell r="J184" t="str">
            <v/>
          </cell>
          <cell r="L184" t="str">
            <v/>
          </cell>
          <cell r="M184" t="str">
            <v/>
          </cell>
        </row>
        <row r="185">
          <cell r="A185">
            <v>203</v>
          </cell>
          <cell r="I185" t="str">
            <v/>
          </cell>
          <cell r="J185" t="str">
            <v/>
          </cell>
          <cell r="L185" t="str">
            <v/>
          </cell>
          <cell r="M185" t="str">
            <v/>
          </cell>
        </row>
      </sheetData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8A008-4560-4594-BC7B-BA4BE581FF97}">
  <sheetPr codeName="Sheet1"/>
  <dimension ref="A1:G184"/>
  <sheetViews>
    <sheetView zoomScaleNormal="100" workbookViewId="0">
      <selection activeCell="G21" sqref="G21"/>
    </sheetView>
  </sheetViews>
  <sheetFormatPr defaultColWidth="8.85546875" defaultRowHeight="15" x14ac:dyDescent="0.25"/>
  <cols>
    <col min="1" max="1" width="4.42578125" bestFit="1" customWidth="1"/>
    <col min="2" max="2" width="10.42578125" bestFit="1" customWidth="1"/>
    <col min="3" max="3" width="8" bestFit="1" customWidth="1"/>
    <col min="4" max="4" width="8.140625" bestFit="1" customWidth="1"/>
  </cols>
  <sheetData>
    <row r="1" spans="1:6" x14ac:dyDescent="0.25">
      <c r="A1" s="10" t="s">
        <v>0</v>
      </c>
      <c r="B1" s="79" t="s">
        <v>1</v>
      </c>
      <c r="C1" s="79" t="s">
        <v>2</v>
      </c>
      <c r="D1" s="79" t="s">
        <v>3</v>
      </c>
      <c r="E1" s="79" t="s">
        <v>4</v>
      </c>
      <c r="F1" s="79" t="s">
        <v>5</v>
      </c>
    </row>
    <row r="2" spans="1:6" x14ac:dyDescent="0.25">
      <c r="A2" s="80">
        <v>18</v>
      </c>
      <c r="B2" s="52">
        <v>5.65</v>
      </c>
      <c r="C2" s="81">
        <v>6.0000000000000001E-3</v>
      </c>
      <c r="D2" s="81">
        <f>C2*E2</f>
        <v>6.0000000000000001E-3</v>
      </c>
      <c r="E2" s="81">
        <v>1</v>
      </c>
      <c r="F2" s="81">
        <f>D2</f>
        <v>6.0000000000000001E-3</v>
      </c>
    </row>
    <row r="3" spans="1:6" x14ac:dyDescent="0.25">
      <c r="A3" s="80">
        <v>19</v>
      </c>
      <c r="B3" s="52">
        <f>B2+C2</f>
        <v>5.6560000000000006</v>
      </c>
      <c r="C3" s="81">
        <v>3.1103866331733343E-2</v>
      </c>
      <c r="D3" s="81">
        <f t="shared" ref="D3:D8" si="0">C3*E3</f>
        <v>3.1414904995050674E-2</v>
      </c>
      <c r="E3" s="81">
        <v>1.01</v>
      </c>
      <c r="F3" s="81">
        <f>F2+D3</f>
        <v>3.7414904995050673E-2</v>
      </c>
    </row>
    <row r="4" spans="1:6" x14ac:dyDescent="0.25">
      <c r="A4" s="80">
        <v>20</v>
      </c>
      <c r="B4" s="52">
        <f t="shared" ref="B4:B43" si="1">B3+C3</f>
        <v>5.6871038663317339</v>
      </c>
      <c r="C4" s="81">
        <v>5.4748614501715309E-2</v>
      </c>
      <c r="D4" s="81">
        <f t="shared" si="0"/>
        <v>5.5843586791749618E-2</v>
      </c>
      <c r="E4" s="81">
        <v>1.02</v>
      </c>
      <c r="F4" s="81">
        <f t="shared" ref="F4:F67" si="2">F3+D4</f>
        <v>9.3258491786800291E-2</v>
      </c>
    </row>
    <row r="5" spans="1:6" x14ac:dyDescent="0.25">
      <c r="A5" s="80">
        <v>21</v>
      </c>
      <c r="B5" s="52">
        <f t="shared" si="1"/>
        <v>5.7418524808334492</v>
      </c>
      <c r="C5" s="81">
        <v>7.8153987395571889E-2</v>
      </c>
      <c r="D5" s="81">
        <f t="shared" si="0"/>
        <v>8.049860701743905E-2</v>
      </c>
      <c r="E5" s="81">
        <v>1.03</v>
      </c>
      <c r="F5" s="81">
        <f t="shared" si="2"/>
        <v>0.17375709880423934</v>
      </c>
    </row>
    <row r="6" spans="1:6" x14ac:dyDescent="0.25">
      <c r="A6" s="80">
        <v>22</v>
      </c>
      <c r="B6" s="52">
        <f t="shared" si="1"/>
        <v>5.8200064682290211</v>
      </c>
      <c r="C6" s="81">
        <v>0.10101504929189709</v>
      </c>
      <c r="D6" s="81">
        <f t="shared" si="0"/>
        <v>0.10505565126357297</v>
      </c>
      <c r="E6" s="81">
        <v>1.04</v>
      </c>
      <c r="F6" s="81">
        <f t="shared" si="2"/>
        <v>0.27881275006781231</v>
      </c>
    </row>
    <row r="7" spans="1:6" x14ac:dyDescent="0.25">
      <c r="A7" s="80">
        <v>23</v>
      </c>
      <c r="B7" s="52">
        <f t="shared" si="1"/>
        <v>5.9210215175209182</v>
      </c>
      <c r="C7" s="81">
        <v>0.12333180019069001</v>
      </c>
      <c r="D7" s="81">
        <f>C7*E7</f>
        <v>0.12949839020022452</v>
      </c>
      <c r="E7" s="81">
        <v>1.05</v>
      </c>
      <c r="F7" s="81">
        <f t="shared" si="2"/>
        <v>0.40831114026803683</v>
      </c>
    </row>
    <row r="8" spans="1:6" x14ac:dyDescent="0.25">
      <c r="A8" s="80">
        <v>24</v>
      </c>
      <c r="B8" s="52">
        <f t="shared" si="1"/>
        <v>6.0443533177116082</v>
      </c>
      <c r="C8" s="81">
        <v>0.14510424009195244</v>
      </c>
      <c r="D8" s="81">
        <f t="shared" si="0"/>
        <v>0.15381049449746959</v>
      </c>
      <c r="E8" s="81">
        <v>1.06</v>
      </c>
      <c r="F8" s="81">
        <f t="shared" si="2"/>
        <v>0.56212163476550647</v>
      </c>
    </row>
    <row r="9" spans="1:6" x14ac:dyDescent="0.25">
      <c r="A9" s="80">
        <v>25</v>
      </c>
      <c r="B9" s="52">
        <f t="shared" si="1"/>
        <v>6.1894575578035607</v>
      </c>
      <c r="C9" s="81">
        <v>0.1663323689956826</v>
      </c>
      <c r="D9" s="81">
        <f>C9*E9</f>
        <v>0.17963895851533723</v>
      </c>
      <c r="E9" s="81">
        <v>1.08</v>
      </c>
      <c r="F9" s="81">
        <f t="shared" si="2"/>
        <v>0.74176059328084376</v>
      </c>
    </row>
    <row r="10" spans="1:6" x14ac:dyDescent="0.25">
      <c r="A10" s="80">
        <v>26</v>
      </c>
      <c r="B10" s="52">
        <f t="shared" si="1"/>
        <v>6.3557899267992433</v>
      </c>
      <c r="C10" s="81">
        <v>0.18701618690188138</v>
      </c>
      <c r="D10" s="81">
        <f>D9+0.025</f>
        <v>0.20463895851533723</v>
      </c>
      <c r="E10">
        <f t="shared" ref="E10:E73" si="3">D10/C10</f>
        <v>1.0942312636429792</v>
      </c>
      <c r="F10" s="81">
        <f t="shared" si="2"/>
        <v>0.94639955179618096</v>
      </c>
    </row>
    <row r="11" spans="1:6" x14ac:dyDescent="0.25">
      <c r="A11" s="80">
        <v>27</v>
      </c>
      <c r="B11" s="52">
        <f t="shared" si="1"/>
        <v>6.5428061137011246</v>
      </c>
      <c r="C11" s="81">
        <v>0.20715569381054877</v>
      </c>
      <c r="D11" s="81">
        <f>D10+0.025</f>
        <v>0.22963895851533722</v>
      </c>
      <c r="E11">
        <f t="shared" si="3"/>
        <v>1.1085331727611127</v>
      </c>
      <c r="F11" s="81">
        <f t="shared" si="2"/>
        <v>1.1760385103115181</v>
      </c>
    </row>
    <row r="12" spans="1:6" x14ac:dyDescent="0.25">
      <c r="A12" s="80">
        <v>28</v>
      </c>
      <c r="B12" s="52">
        <f t="shared" si="1"/>
        <v>6.7499618075116734</v>
      </c>
      <c r="C12" s="81">
        <v>0.22675088972168478</v>
      </c>
      <c r="D12" s="81">
        <f t="shared" ref="D12:D23" si="4">D11+0.025</f>
        <v>0.25463895851533724</v>
      </c>
      <c r="E12">
        <f t="shared" si="3"/>
        <v>1.1229898979795954</v>
      </c>
      <c r="F12" s="81">
        <f t="shared" si="2"/>
        <v>1.4306774688268553</v>
      </c>
    </row>
    <row r="13" spans="1:6" x14ac:dyDescent="0.25">
      <c r="A13" s="80">
        <v>29</v>
      </c>
      <c r="B13" s="52">
        <f t="shared" si="1"/>
        <v>6.9767126972333582</v>
      </c>
      <c r="C13" s="81">
        <v>0.24580177463528852</v>
      </c>
      <c r="D13" s="81">
        <f>D12+0.025</f>
        <v>0.27963895851533727</v>
      </c>
      <c r="E13">
        <f t="shared" si="3"/>
        <v>1.1376604539582966</v>
      </c>
      <c r="F13" s="81">
        <f t="shared" si="2"/>
        <v>1.7103164273421925</v>
      </c>
    </row>
    <row r="14" spans="1:6" x14ac:dyDescent="0.25">
      <c r="A14" s="80">
        <v>30</v>
      </c>
      <c r="B14" s="52">
        <f t="shared" si="1"/>
        <v>7.2225144718686467</v>
      </c>
      <c r="C14" s="81">
        <v>0.26430834855136176</v>
      </c>
      <c r="D14" s="81">
        <f>D13+0.025</f>
        <v>0.30463895851533729</v>
      </c>
      <c r="E14">
        <f t="shared" si="3"/>
        <v>1.1525892397460094</v>
      </c>
      <c r="F14" s="81">
        <f t="shared" si="2"/>
        <v>2.0149553858575295</v>
      </c>
    </row>
    <row r="15" spans="1:6" x14ac:dyDescent="0.25">
      <c r="A15" s="80">
        <v>31</v>
      </c>
      <c r="B15" s="52">
        <f t="shared" si="1"/>
        <v>7.4868228204200085</v>
      </c>
      <c r="C15" s="81">
        <v>0.28227061146990362</v>
      </c>
      <c r="D15" s="81">
        <f t="shared" si="4"/>
        <v>0.32963895851533731</v>
      </c>
      <c r="E15">
        <f t="shared" si="3"/>
        <v>1.1678118270930384</v>
      </c>
      <c r="F15" s="81">
        <f t="shared" si="2"/>
        <v>2.344594344372867</v>
      </c>
    </row>
    <row r="16" spans="1:6" x14ac:dyDescent="0.25">
      <c r="A16" s="80">
        <v>32</v>
      </c>
      <c r="B16" s="52">
        <f t="shared" si="1"/>
        <v>7.7690934318899121</v>
      </c>
      <c r="C16" s="81">
        <v>0.29968856339091232</v>
      </c>
      <c r="D16" s="81">
        <f t="shared" si="4"/>
        <v>0.35463895851533733</v>
      </c>
      <c r="E16">
        <f t="shared" si="3"/>
        <v>1.1833583320720451</v>
      </c>
      <c r="F16" s="81">
        <f t="shared" si="2"/>
        <v>2.6992333028882043</v>
      </c>
    </row>
    <row r="17" spans="1:6" x14ac:dyDescent="0.25">
      <c r="A17" s="80">
        <v>33</v>
      </c>
      <c r="B17" s="52">
        <f t="shared" si="1"/>
        <v>8.0687819952808244</v>
      </c>
      <c r="C17" s="81">
        <v>0.31656220431439053</v>
      </c>
      <c r="D17" s="81">
        <f t="shared" si="4"/>
        <v>0.37963895851533735</v>
      </c>
      <c r="E17">
        <f t="shared" si="3"/>
        <v>1.1992554807278977</v>
      </c>
      <c r="F17" s="81">
        <f t="shared" si="2"/>
        <v>3.0788722614035415</v>
      </c>
    </row>
    <row r="18" spans="1:6" x14ac:dyDescent="0.25">
      <c r="A18" s="80">
        <v>34</v>
      </c>
      <c r="B18" s="52">
        <f t="shared" si="1"/>
        <v>8.3853441995952149</v>
      </c>
      <c r="C18" s="81">
        <v>0.33289153424033735</v>
      </c>
      <c r="D18" s="81">
        <f t="shared" si="4"/>
        <v>0.40463895851533738</v>
      </c>
      <c r="E18">
        <f t="shared" si="3"/>
        <v>1.2155279329608923</v>
      </c>
      <c r="F18" s="81">
        <f t="shared" si="2"/>
        <v>3.4835112199188787</v>
      </c>
    </row>
    <row r="19" spans="1:6" x14ac:dyDescent="0.25">
      <c r="A19" s="80">
        <v>35</v>
      </c>
      <c r="B19" s="52">
        <f t="shared" si="1"/>
        <v>8.7182357338355523</v>
      </c>
      <c r="C19" s="81">
        <v>0.34867655316875101</v>
      </c>
      <c r="D19" s="81">
        <f t="shared" si="4"/>
        <v>0.4296389585153374</v>
      </c>
      <c r="E19">
        <f t="shared" si="3"/>
        <v>1.2321991674255268</v>
      </c>
      <c r="F19" s="81">
        <f t="shared" si="2"/>
        <v>3.9131501784342162</v>
      </c>
    </row>
    <row r="20" spans="1:6" x14ac:dyDescent="0.25">
      <c r="A20" s="80">
        <v>36</v>
      </c>
      <c r="B20" s="52">
        <f t="shared" si="1"/>
        <v>9.0669122870043033</v>
      </c>
      <c r="C20" s="81">
        <v>0.36391726109963507</v>
      </c>
      <c r="D20" s="81">
        <f t="shared" si="4"/>
        <v>0.45463895851533742</v>
      </c>
      <c r="E20">
        <f t="shared" si="3"/>
        <v>1.2492920977190585</v>
      </c>
      <c r="F20" s="81">
        <f t="shared" si="2"/>
        <v>4.3677891369495541</v>
      </c>
    </row>
    <row r="21" spans="1:6" x14ac:dyDescent="0.25">
      <c r="A21" s="80">
        <v>37</v>
      </c>
      <c r="B21" s="52">
        <f t="shared" si="1"/>
        <v>9.4308295481039384</v>
      </c>
      <c r="C21" s="81">
        <v>0.37861365803298774</v>
      </c>
      <c r="D21" s="81">
        <f t="shared" si="4"/>
        <v>0.47963895851533744</v>
      </c>
      <c r="E21">
        <f t="shared" si="3"/>
        <v>1.2668295195878738</v>
      </c>
      <c r="F21" s="81">
        <f t="shared" si="2"/>
        <v>4.8474280954648918</v>
      </c>
    </row>
    <row r="22" spans="1:6" x14ac:dyDescent="0.25">
      <c r="A22" s="80">
        <v>38</v>
      </c>
      <c r="B22" s="52">
        <f t="shared" si="1"/>
        <v>9.8094432061369261</v>
      </c>
      <c r="C22" s="81">
        <v>0.39276574396880726</v>
      </c>
      <c r="D22" s="81">
        <f t="shared" si="4"/>
        <v>0.50463895851533747</v>
      </c>
      <c r="E22">
        <f t="shared" si="3"/>
        <v>1.2848344497055093</v>
      </c>
      <c r="F22" s="81">
        <f t="shared" si="2"/>
        <v>5.3520670539802291</v>
      </c>
    </row>
    <row r="23" spans="1:6" x14ac:dyDescent="0.25">
      <c r="A23" s="80">
        <v>39</v>
      </c>
      <c r="B23" s="52">
        <f t="shared" si="1"/>
        <v>10.202208950105733</v>
      </c>
      <c r="C23" s="81">
        <v>0.40637351890709539</v>
      </c>
      <c r="D23" s="81">
        <f t="shared" si="4"/>
        <v>0.52963895851533749</v>
      </c>
      <c r="E23">
        <f t="shared" si="3"/>
        <v>1.3033303940171921</v>
      </c>
      <c r="F23" s="81">
        <f t="shared" si="2"/>
        <v>5.8817060124955667</v>
      </c>
    </row>
    <row r="24" spans="1:6" x14ac:dyDescent="0.25">
      <c r="A24" s="80">
        <v>40</v>
      </c>
      <c r="B24" s="52">
        <f t="shared" si="1"/>
        <v>10.608582469012829</v>
      </c>
      <c r="C24" s="81">
        <v>0.41943698284785391</v>
      </c>
      <c r="D24" s="81">
        <f>D23+0.02</f>
        <v>0.54963895851533751</v>
      </c>
      <c r="E24" s="81">
        <f t="shared" si="3"/>
        <v>1.3104208283767693</v>
      </c>
      <c r="F24" s="81">
        <f t="shared" si="2"/>
        <v>6.4313449710109039</v>
      </c>
    </row>
    <row r="25" spans="1:6" x14ac:dyDescent="0.25">
      <c r="A25" s="80">
        <v>41</v>
      </c>
      <c r="B25" s="52">
        <f t="shared" si="1"/>
        <v>11.028019451860683</v>
      </c>
      <c r="C25" s="81">
        <v>0.43195613579107933</v>
      </c>
      <c r="D25" s="81">
        <f t="shared" ref="D25:D29" si="5">D24+0.02</f>
        <v>0.56963895851533752</v>
      </c>
      <c r="E25" s="81">
        <f t="shared" si="3"/>
        <v>1.3187426021211794</v>
      </c>
      <c r="F25" s="81">
        <f t="shared" si="2"/>
        <v>7.0009839295262415</v>
      </c>
    </row>
    <row r="26" spans="1:6" x14ac:dyDescent="0.25">
      <c r="A26" s="80">
        <v>42</v>
      </c>
      <c r="B26" s="52">
        <f t="shared" si="1"/>
        <v>11.459975587651762</v>
      </c>
      <c r="C26" s="81">
        <v>0.44162835821757873</v>
      </c>
      <c r="D26" s="81">
        <f t="shared" si="5"/>
        <v>0.58963895851533754</v>
      </c>
      <c r="E26" s="81">
        <f t="shared" si="3"/>
        <v>1.3351474096797875</v>
      </c>
      <c r="F26" s="81">
        <f t="shared" si="2"/>
        <v>7.5906228880415787</v>
      </c>
    </row>
    <row r="27" spans="1:6" x14ac:dyDescent="0.25">
      <c r="A27" s="80">
        <v>43</v>
      </c>
      <c r="B27" s="52">
        <f t="shared" si="1"/>
        <v>11.90160394586934</v>
      </c>
      <c r="C27" s="81">
        <v>0.45151715792801084</v>
      </c>
      <c r="D27" s="81">
        <f t="shared" si="5"/>
        <v>0.60963895851533756</v>
      </c>
      <c r="E27" s="81">
        <f t="shared" si="3"/>
        <v>1.3502010893958927</v>
      </c>
      <c r="F27" s="81">
        <f t="shared" si="2"/>
        <v>8.2002618465569164</v>
      </c>
    </row>
    <row r="28" spans="1:6" x14ac:dyDescent="0.25">
      <c r="A28" s="80">
        <v>44</v>
      </c>
      <c r="B28" s="52">
        <f t="shared" si="1"/>
        <v>12.353121103797351</v>
      </c>
      <c r="C28" s="81">
        <v>0.46162738445104101</v>
      </c>
      <c r="D28" s="81">
        <f t="shared" si="5"/>
        <v>0.62963895851533758</v>
      </c>
      <c r="E28" s="81">
        <f t="shared" si="3"/>
        <v>1.3639549552808548</v>
      </c>
      <c r="F28" s="81">
        <f t="shared" si="2"/>
        <v>8.8299008050722545</v>
      </c>
    </row>
    <row r="29" spans="1:6" x14ac:dyDescent="0.25">
      <c r="A29" s="80">
        <v>45</v>
      </c>
      <c r="B29" s="52">
        <f t="shared" si="1"/>
        <v>12.814748488248393</v>
      </c>
      <c r="C29" s="81">
        <v>0.4719639959044159</v>
      </c>
      <c r="D29" s="81">
        <f t="shared" si="5"/>
        <v>0.64963895851533759</v>
      </c>
      <c r="E29" s="81">
        <f t="shared" si="3"/>
        <v>1.3764587217515321</v>
      </c>
      <c r="F29" s="81">
        <f t="shared" si="2"/>
        <v>9.4795397635875922</v>
      </c>
    </row>
    <row r="30" spans="1:6" x14ac:dyDescent="0.25">
      <c r="A30" s="80">
        <v>46</v>
      </c>
      <c r="B30" s="52">
        <f t="shared" si="1"/>
        <v>13.286712484152808</v>
      </c>
      <c r="C30" s="81">
        <v>0.48253206142645505</v>
      </c>
      <c r="D30" s="81">
        <f>D29+0.023</f>
        <v>0.67263895851533761</v>
      </c>
      <c r="E30" s="81">
        <f t="shared" si="3"/>
        <v>1.3939777525391599</v>
      </c>
      <c r="F30" s="81">
        <f t="shared" si="2"/>
        <v>10.15217872210293</v>
      </c>
    </row>
    <row r="31" spans="1:6" x14ac:dyDescent="0.25">
      <c r="A31" s="80">
        <v>47</v>
      </c>
      <c r="B31" s="52">
        <f t="shared" si="1"/>
        <v>13.769244545579264</v>
      </c>
      <c r="C31" s="81">
        <v>0.49333676366198781</v>
      </c>
      <c r="D31" s="81">
        <f t="shared" ref="D31:D37" si="6">D30+0.023</f>
        <v>0.69563895851533764</v>
      </c>
      <c r="E31" s="81">
        <f t="shared" si="3"/>
        <v>1.41006916523245</v>
      </c>
      <c r="F31" s="81">
        <f t="shared" si="2"/>
        <v>10.847817680618267</v>
      </c>
    </row>
    <row r="32" spans="1:6" x14ac:dyDescent="0.25">
      <c r="A32" s="80">
        <v>48</v>
      </c>
      <c r="B32" s="52">
        <f t="shared" si="1"/>
        <v>14.262581309241252</v>
      </c>
      <c r="C32" s="81">
        <v>0.50438340130395432</v>
      </c>
      <c r="D32" s="81">
        <f t="shared" si="6"/>
        <v>0.71863895851533766</v>
      </c>
      <c r="E32" s="81">
        <f t="shared" si="3"/>
        <v>1.4247870898556145</v>
      </c>
      <c r="F32" s="81">
        <f t="shared" si="2"/>
        <v>11.566456639133605</v>
      </c>
    </row>
    <row r="33" spans="1:7" x14ac:dyDescent="0.25">
      <c r="A33" s="80">
        <v>49</v>
      </c>
      <c r="B33" s="52">
        <f t="shared" si="1"/>
        <v>14.766964710545206</v>
      </c>
      <c r="C33" s="81">
        <v>0.5156773916919174</v>
      </c>
      <c r="D33" s="81">
        <f t="shared" si="6"/>
        <v>0.74163895851533768</v>
      </c>
      <c r="E33" s="81">
        <f t="shared" si="3"/>
        <v>1.4381839701795907</v>
      </c>
      <c r="F33" s="81">
        <f t="shared" si="2"/>
        <v>12.308095597648943</v>
      </c>
    </row>
    <row r="34" spans="1:7" x14ac:dyDescent="0.25">
      <c r="A34" s="80">
        <v>50</v>
      </c>
      <c r="B34" s="52">
        <f t="shared" si="1"/>
        <v>15.282642102237125</v>
      </c>
      <c r="C34" s="81">
        <v>0.52722427346875989</v>
      </c>
      <c r="D34" s="81">
        <f t="shared" si="6"/>
        <v>0.7646389585153377</v>
      </c>
      <c r="E34" s="81">
        <f t="shared" si="3"/>
        <v>1.450310611619906</v>
      </c>
      <c r="F34" s="81">
        <f t="shared" si="2"/>
        <v>13.072734556164281</v>
      </c>
    </row>
    <row r="35" spans="1:7" x14ac:dyDescent="0.25">
      <c r="A35" s="80">
        <v>51</v>
      </c>
      <c r="B35" s="52">
        <f t="shared" si="1"/>
        <v>15.809866375705884</v>
      </c>
      <c r="C35" s="81">
        <v>0.53902970929686855</v>
      </c>
      <c r="D35" s="81">
        <f t="shared" si="6"/>
        <v>0.78763895851533772</v>
      </c>
      <c r="E35" s="81">
        <f t="shared" si="3"/>
        <v>1.4612162278453349</v>
      </c>
      <c r="F35" s="81">
        <f t="shared" si="2"/>
        <v>13.860373514679619</v>
      </c>
    </row>
    <row r="36" spans="1:7" x14ac:dyDescent="0.25">
      <c r="A36" s="80">
        <v>52</v>
      </c>
      <c r="B36" s="52">
        <f t="shared" si="1"/>
        <v>16.348896085002753</v>
      </c>
      <c r="C36" s="81">
        <v>0.5510994886351398</v>
      </c>
      <c r="D36" s="81">
        <f t="shared" si="6"/>
        <v>0.81063895851533774</v>
      </c>
      <c r="E36" s="81">
        <f t="shared" si="3"/>
        <v>1.4709484861308377</v>
      </c>
      <c r="F36" s="81">
        <f t="shared" si="2"/>
        <v>14.671012473194956</v>
      </c>
    </row>
    <row r="37" spans="1:7" x14ac:dyDescent="0.25">
      <c r="A37" s="80">
        <v>53</v>
      </c>
      <c r="B37" s="52">
        <f t="shared" si="1"/>
        <v>16.899995573637892</v>
      </c>
      <c r="C37" s="81">
        <v>0.56343953057816532</v>
      </c>
      <c r="D37" s="81">
        <f t="shared" si="6"/>
        <v>0.83363895851533776</v>
      </c>
      <c r="E37" s="81">
        <f t="shared" si="3"/>
        <v>1.4795535514874352</v>
      </c>
      <c r="F37" s="81">
        <f t="shared" si="2"/>
        <v>15.504651431710293</v>
      </c>
    </row>
    <row r="38" spans="1:7" x14ac:dyDescent="0.25">
      <c r="A38" s="80">
        <v>54</v>
      </c>
      <c r="B38" s="52">
        <f t="shared" si="1"/>
        <v>17.463435104216057</v>
      </c>
      <c r="C38" s="81">
        <v>0.57605588675899355</v>
      </c>
      <c r="D38" s="81">
        <f t="shared" ref="D38:D39" si="7">D37+0.025</f>
        <v>0.85863895851533778</v>
      </c>
      <c r="E38" s="81">
        <f t="shared" si="3"/>
        <v>1.4905480149612107</v>
      </c>
      <c r="F38" s="81">
        <f t="shared" si="2"/>
        <v>16.363290390225632</v>
      </c>
    </row>
    <row r="39" spans="1:7" x14ac:dyDescent="0.25">
      <c r="A39" s="80">
        <v>55</v>
      </c>
      <c r="B39" s="52">
        <f t="shared" si="1"/>
        <v>18.03949099097505</v>
      </c>
      <c r="C39" s="81">
        <v>0.58895474431688732</v>
      </c>
      <c r="D39" s="81">
        <f t="shared" si="7"/>
        <v>0.8836389585153378</v>
      </c>
      <c r="E39" s="81">
        <f t="shared" si="3"/>
        <v>1.5003512019251102</v>
      </c>
      <c r="F39" s="81">
        <f t="shared" si="2"/>
        <v>17.24692934874097</v>
      </c>
    </row>
    <row r="40" spans="1:7" x14ac:dyDescent="0.25">
      <c r="A40" s="84">
        <v>56</v>
      </c>
      <c r="B40" s="52">
        <f t="shared" si="1"/>
        <v>18.628445735291937</v>
      </c>
      <c r="C40" s="81">
        <v>0.6021424289315358</v>
      </c>
      <c r="D40" s="81">
        <f>D39+0.03</f>
        <v>0.91363895851533783</v>
      </c>
      <c r="E40" s="81">
        <f t="shared" si="3"/>
        <v>1.5173137029000485</v>
      </c>
      <c r="F40" s="81">
        <f t="shared" si="2"/>
        <v>18.160568307256309</v>
      </c>
    </row>
    <row r="41" spans="1:7" x14ac:dyDescent="0.25">
      <c r="A41" s="85">
        <v>57</v>
      </c>
      <c r="B41" s="52">
        <f t="shared" si="1"/>
        <v>19.230588164223473</v>
      </c>
      <c r="C41" s="81">
        <v>0.61562540792520681</v>
      </c>
      <c r="D41" s="81">
        <f t="shared" ref="D41:D42" si="8">D40+0.03</f>
        <v>0.94363895851533786</v>
      </c>
      <c r="E41" s="81">
        <f t="shared" si="3"/>
        <v>1.5328135362307558</v>
      </c>
      <c r="F41" s="81">
        <f t="shared" si="2"/>
        <v>19.104207265771645</v>
      </c>
    </row>
    <row r="42" spans="1:7" x14ac:dyDescent="0.25">
      <c r="A42" s="85">
        <v>58</v>
      </c>
      <c r="B42" s="52">
        <f t="shared" si="1"/>
        <v>19.846213572148681</v>
      </c>
      <c r="C42" s="81">
        <v>0.62941029343436183</v>
      </c>
      <c r="D42" s="81">
        <f t="shared" si="8"/>
        <v>0.97363895851533788</v>
      </c>
      <c r="E42" s="81">
        <f t="shared" si="3"/>
        <v>1.5469066341490871</v>
      </c>
      <c r="F42" s="81">
        <f t="shared" si="2"/>
        <v>20.077846224286983</v>
      </c>
    </row>
    <row r="43" spans="1:7" x14ac:dyDescent="0.25">
      <c r="A43" s="86">
        <v>59</v>
      </c>
      <c r="B43" s="92">
        <f t="shared" si="1"/>
        <v>20.475623865583042</v>
      </c>
      <c r="C43" s="93">
        <v>0.64350384565228858</v>
      </c>
      <c r="D43" s="93">
        <f>D42+0.024</f>
        <v>0.9976389585153379</v>
      </c>
      <c r="E43" s="93">
        <f t="shared" si="3"/>
        <v>1.5503232269017442</v>
      </c>
      <c r="F43" s="93">
        <f t="shared" si="2"/>
        <v>21.075485182802321</v>
      </c>
      <c r="G43" s="2"/>
    </row>
    <row r="44" spans="1:7" x14ac:dyDescent="0.25">
      <c r="A44">
        <v>60</v>
      </c>
      <c r="B44" s="83">
        <v>21.118767245594924</v>
      </c>
      <c r="C44" s="81">
        <v>0.65791297614434174</v>
      </c>
      <c r="D44" s="81">
        <v>1.0210304359021636</v>
      </c>
      <c r="E44" s="81">
        <f t="shared" si="3"/>
        <v>1.5519232374558856</v>
      </c>
      <c r="F44" s="81">
        <f t="shared" si="2"/>
        <v>22.096515618704483</v>
      </c>
    </row>
    <row r="45" spans="1:7" x14ac:dyDescent="0.25">
      <c r="A45">
        <v>61</v>
      </c>
      <c r="B45" s="2">
        <v>21.776680221739266</v>
      </c>
      <c r="C45" s="81">
        <f t="shared" ref="C45:C108" si="9">B46-B45</f>
        <v>0.66721022807321617</v>
      </c>
      <c r="D45" s="1">
        <v>1.0501826107235677</v>
      </c>
      <c r="E45" s="82">
        <f t="shared" si="3"/>
        <v>1.5739905752888519</v>
      </c>
      <c r="F45" s="81">
        <f t="shared" si="2"/>
        <v>23.146698229428051</v>
      </c>
    </row>
    <row r="46" spans="1:7" x14ac:dyDescent="0.25">
      <c r="A46">
        <v>62</v>
      </c>
      <c r="B46" s="2">
        <v>22.443890449812482</v>
      </c>
      <c r="C46" s="81">
        <f t="shared" si="9"/>
        <v>0.67638012140200487</v>
      </c>
      <c r="D46" s="1">
        <v>1.0795110078548809</v>
      </c>
      <c r="E46" s="82">
        <f t="shared" si="3"/>
        <v>1.5960123216177078</v>
      </c>
      <c r="F46" s="81">
        <f t="shared" si="2"/>
        <v>24.22620923728293</v>
      </c>
    </row>
    <row r="47" spans="1:7" x14ac:dyDescent="0.25">
      <c r="A47">
        <v>63</v>
      </c>
      <c r="B47" s="2">
        <v>23.120270571214487</v>
      </c>
      <c r="C47" s="81">
        <f t="shared" si="9"/>
        <v>0.68542067194310263</v>
      </c>
      <c r="D47" s="1">
        <v>1.1089966437764907</v>
      </c>
      <c r="E47" s="82">
        <f t="shared" si="3"/>
        <v>1.6179795695869374</v>
      </c>
      <c r="F47" s="81">
        <f t="shared" si="2"/>
        <v>25.335205881059419</v>
      </c>
    </row>
    <row r="48" spans="1:7" x14ac:dyDescent="0.25">
      <c r="A48">
        <v>64</v>
      </c>
      <c r="B48" s="2">
        <v>23.80569124315759</v>
      </c>
      <c r="C48" s="81">
        <f t="shared" si="9"/>
        <v>0.69432998471660312</v>
      </c>
      <c r="D48" s="1">
        <v>1.1386204883163993</v>
      </c>
      <c r="E48" s="82">
        <f t="shared" si="3"/>
        <v>1.639883792115268</v>
      </c>
      <c r="F48" s="81">
        <f t="shared" si="2"/>
        <v>26.473826369375818</v>
      </c>
    </row>
    <row r="49" spans="1:6" x14ac:dyDescent="0.25">
      <c r="A49">
        <v>65</v>
      </c>
      <c r="B49" s="2">
        <v>24.500021227874193</v>
      </c>
      <c r="C49" s="81">
        <f t="shared" si="9"/>
        <v>0.70310625377907954</v>
      </c>
      <c r="D49" s="1">
        <v>1.1683635012877533</v>
      </c>
      <c r="E49" s="82">
        <f t="shared" si="3"/>
        <v>1.661716838682622</v>
      </c>
      <c r="F49" s="81">
        <f t="shared" si="2"/>
        <v>27.642189870663572</v>
      </c>
    </row>
    <row r="50" spans="1:6" x14ac:dyDescent="0.25">
      <c r="A50">
        <v>66</v>
      </c>
      <c r="B50" s="2">
        <v>25.203127481653272</v>
      </c>
      <c r="C50" s="81">
        <f t="shared" si="9"/>
        <v>0.71174776200101419</v>
      </c>
      <c r="D50" s="1">
        <v>1.1982066688855144</v>
      </c>
      <c r="E50" s="82">
        <f t="shared" si="3"/>
        <v>1.6834709329002526</v>
      </c>
      <c r="F50" s="81">
        <f t="shared" si="2"/>
        <v>28.840396539549086</v>
      </c>
    </row>
    <row r="51" spans="1:6" x14ac:dyDescent="0.25">
      <c r="A51">
        <v>67</v>
      </c>
      <c r="B51" s="2">
        <v>25.914875243654286</v>
      </c>
      <c r="C51" s="81">
        <f t="shared" si="9"/>
        <v>0.72025288079131755</v>
      </c>
      <c r="D51" s="1">
        <v>1.2281310397061247</v>
      </c>
      <c r="E51" s="82">
        <f t="shared" si="3"/>
        <v>1.7051386706802458</v>
      </c>
      <c r="F51" s="81">
        <f t="shared" si="2"/>
        <v>30.06852757925521</v>
      </c>
    </row>
    <row r="52" spans="1:6" x14ac:dyDescent="0.25">
      <c r="A52">
        <v>68</v>
      </c>
      <c r="B52" s="2">
        <v>26.635128124445604</v>
      </c>
      <c r="C52" s="81">
        <f t="shared" si="9"/>
        <v>0.72862006976777138</v>
      </c>
      <c r="D52" s="1">
        <v>1.2581177602572642</v>
      </c>
      <c r="E52" s="82">
        <f t="shared" si="3"/>
        <v>1.7267130188415705</v>
      </c>
      <c r="F52" s="81">
        <f t="shared" si="2"/>
        <v>31.326645339512474</v>
      </c>
    </row>
    <row r="53" spans="1:6" x14ac:dyDescent="0.25">
      <c r="A53">
        <v>69</v>
      </c>
      <c r="B53" s="2">
        <v>27.363748194213375</v>
      </c>
      <c r="C53" s="81">
        <f t="shared" si="9"/>
        <v>0.73684787637263938</v>
      </c>
      <c r="D53" s="1">
        <v>1.288148109828801</v>
      </c>
      <c r="E53" s="82">
        <f t="shared" si="3"/>
        <v>1.7481873140085669</v>
      </c>
      <c r="F53" s="81">
        <f t="shared" si="2"/>
        <v>32.614793449341278</v>
      </c>
    </row>
    <row r="54" spans="1:6" x14ac:dyDescent="0.25">
      <c r="A54">
        <v>70</v>
      </c>
      <c r="B54" s="2">
        <v>28.100596070586015</v>
      </c>
      <c r="C54" s="81">
        <f t="shared" si="9"/>
        <v>0.74493493543268841</v>
      </c>
      <c r="D54" s="1">
        <v>1.3182035346007943</v>
      </c>
      <c r="E54" s="82">
        <f t="shared" si="3"/>
        <v>1.7695552616754755</v>
      </c>
      <c r="F54" s="81">
        <f t="shared" si="2"/>
        <v>33.932996983942076</v>
      </c>
    </row>
    <row r="55" spans="1:6" x14ac:dyDescent="0.25">
      <c r="A55">
        <v>71</v>
      </c>
      <c r="B55" s="2">
        <v>28.845531006018703</v>
      </c>
      <c r="C55" s="81">
        <f t="shared" si="9"/>
        <v>0.75287996866357076</v>
      </c>
      <c r="D55" s="1">
        <v>1.3482656808698184</v>
      </c>
      <c r="E55" s="82">
        <f t="shared" si="3"/>
        <v>1.7908109353249368</v>
      </c>
      <c r="F55" s="81">
        <f t="shared" si="2"/>
        <v>35.281262664811891</v>
      </c>
    </row>
    <row r="56" spans="1:6" x14ac:dyDescent="0.25">
      <c r="A56">
        <v>72</v>
      </c>
      <c r="B56" s="2">
        <v>29.598410974682274</v>
      </c>
      <c r="C56" s="81">
        <f t="shared" si="9"/>
        <v>0.76068178411815524</v>
      </c>
      <c r="D56" s="1">
        <v>1.3783164272809321</v>
      </c>
      <c r="E56" s="82">
        <f t="shared" si="3"/>
        <v>1.8119487755037931</v>
      </c>
      <c r="F56" s="81">
        <f t="shared" si="2"/>
        <v>36.65957909209282</v>
      </c>
    </row>
    <row r="57" spans="1:6" x14ac:dyDescent="0.25">
      <c r="A57">
        <v>73</v>
      </c>
      <c r="B57" s="2">
        <v>30.359092758800429</v>
      </c>
      <c r="C57" s="81">
        <f t="shared" si="9"/>
        <v>0.76833927557926529</v>
      </c>
      <c r="D57" s="1">
        <v>1.4083379159592655</v>
      </c>
      <c r="E57" s="82">
        <f t="shared" si="3"/>
        <v>1.8329635887707203</v>
      </c>
      <c r="F57" s="81">
        <f t="shared" si="2"/>
        <v>38.067917008052085</v>
      </c>
    </row>
    <row r="58" spans="1:6" x14ac:dyDescent="0.25">
      <c r="A58">
        <v>74</v>
      </c>
      <c r="B58" s="2">
        <v>31.127432034379694</v>
      </c>
      <c r="C58" s="81">
        <f t="shared" si="9"/>
        <v>0.77585142189714418</v>
      </c>
      <c r="D58" s="1">
        <v>1.4383125824423098</v>
      </c>
      <c r="E58" s="82">
        <f t="shared" si="3"/>
        <v>1.8538505464426269</v>
      </c>
      <c r="F58" s="81">
        <f t="shared" si="2"/>
        <v>39.506229590494392</v>
      </c>
    </row>
    <row r="59" spans="1:6" x14ac:dyDescent="0.25">
      <c r="A59">
        <v>75</v>
      </c>
      <c r="B59" s="2">
        <v>31.903283456276839</v>
      </c>
      <c r="C59" s="81">
        <f t="shared" si="9"/>
        <v>0.78321728627188492</v>
      </c>
      <c r="D59" s="1">
        <v>1.4682231843216345</v>
      </c>
      <c r="E59" s="82">
        <f t="shared" si="3"/>
        <v>1.8746051830780937</v>
      </c>
      <c r="F59" s="81">
        <f t="shared" si="2"/>
        <v>40.974452774816029</v>
      </c>
    </row>
    <row r="60" spans="1:6" x14ac:dyDescent="0.25">
      <c r="A60">
        <v>76</v>
      </c>
      <c r="B60" s="2">
        <v>32.686500742548724</v>
      </c>
      <c r="C60" s="81">
        <f t="shared" si="9"/>
        <v>0.79043601548199405</v>
      </c>
      <c r="D60" s="1">
        <v>1.4980528285107182</v>
      </c>
      <c r="E60" s="82">
        <f t="shared" si="3"/>
        <v>1.8952233946440709</v>
      </c>
      <c r="F60" s="81">
        <f t="shared" si="2"/>
        <v>42.472505603326745</v>
      </c>
    </row>
    <row r="61" spans="1:6" x14ac:dyDescent="0.25">
      <c r="A61">
        <v>77</v>
      </c>
      <c r="B61" s="2">
        <v>33.476936758030718</v>
      </c>
      <c r="C61" s="81">
        <f t="shared" si="9"/>
        <v>0.79750683905976416</v>
      </c>
      <c r="D61" s="1">
        <v>1.5277849970639017</v>
      </c>
      <c r="E61" s="82">
        <f t="shared" si="3"/>
        <v>1.9157014363226186</v>
      </c>
      <c r="F61" s="81">
        <f t="shared" si="2"/>
        <v>44.000290600390649</v>
      </c>
    </row>
    <row r="62" spans="1:6" x14ac:dyDescent="0.25">
      <c r="A62">
        <v>78</v>
      </c>
      <c r="B62" s="2">
        <v>34.274443597090482</v>
      </c>
      <c r="C62" s="81">
        <f t="shared" si="9"/>
        <v>0.80442906841432205</v>
      </c>
      <c r="D62" s="1">
        <v>1.5574035714800547</v>
      </c>
      <c r="E62" s="82">
        <f t="shared" si="3"/>
        <v>1.9360359199226653</v>
      </c>
      <c r="F62" s="81">
        <f t="shared" si="2"/>
        <v>45.5576941718707</v>
      </c>
    </row>
    <row r="63" spans="1:6" x14ac:dyDescent="0.25">
      <c r="A63">
        <v>79</v>
      </c>
      <c r="B63" s="2">
        <v>35.078872665504804</v>
      </c>
      <c r="C63" s="81">
        <f t="shared" si="9"/>
        <v>0.81120209590400805</v>
      </c>
      <c r="D63" s="1">
        <v>1.5868928554332546</v>
      </c>
      <c r="E63" s="82">
        <f t="shared" si="3"/>
        <v>1.9562238108677623</v>
      </c>
      <c r="F63" s="81">
        <f t="shared" si="2"/>
        <v>47.144587027303956</v>
      </c>
    </row>
    <row r="64" spans="1:6" x14ac:dyDescent="0.25">
      <c r="A64">
        <v>80</v>
      </c>
      <c r="B64" s="2">
        <v>35.890074761408812</v>
      </c>
      <c r="C64" s="81">
        <f t="shared" si="9"/>
        <v>0.81782539385883979</v>
      </c>
      <c r="D64" s="1">
        <v>1.6162375958817081</v>
      </c>
      <c r="E64" s="82">
        <f t="shared" si="3"/>
        <v>1.9762624247403568</v>
      </c>
      <c r="F64" s="81">
        <f t="shared" si="2"/>
        <v>48.760824623185663</v>
      </c>
    </row>
    <row r="65" spans="1:6" x14ac:dyDescent="0.25">
      <c r="A65">
        <v>81</v>
      </c>
      <c r="B65" s="2">
        <v>36.707900155267652</v>
      </c>
      <c r="C65" s="81">
        <f t="shared" si="9"/>
        <v>0.82429851355482953</v>
      </c>
      <c r="D65" s="1">
        <v>1.6454230025150056</v>
      </c>
      <c r="E65" s="82">
        <f t="shared" si="3"/>
        <v>1.9961494233673123</v>
      </c>
      <c r="F65" s="81">
        <f t="shared" si="2"/>
        <v>50.406247625700665</v>
      </c>
    </row>
    <row r="66" spans="1:6" x14ac:dyDescent="0.25">
      <c r="A66">
        <v>82</v>
      </c>
      <c r="B66" s="2">
        <v>37.532198668822481</v>
      </c>
      <c r="C66" s="81">
        <f t="shared" si="9"/>
        <v>0.83062108414184621</v>
      </c>
      <c r="D66" s="1">
        <v>1.6744347655087433</v>
      </c>
      <c r="E66" s="82">
        <f t="shared" si="3"/>
        <v>2.0158828104377831</v>
      </c>
      <c r="F66" s="81">
        <f t="shared" si="2"/>
        <v>52.080682391209407</v>
      </c>
    </row>
    <row r="67" spans="1:6" x14ac:dyDescent="0.25">
      <c r="A67">
        <v>83</v>
      </c>
      <c r="B67" s="2">
        <v>38.362819752964327</v>
      </c>
      <c r="C67" s="81">
        <f t="shared" si="9"/>
        <v>0.83679281152578966</v>
      </c>
      <c r="D67" s="1">
        <v>1.7032590715643761</v>
      </c>
      <c r="E67" s="82">
        <f t="shared" si="3"/>
        <v>2.0354609266524299</v>
      </c>
      <c r="F67" s="81">
        <f t="shared" si="2"/>
        <v>53.783941462773782</v>
      </c>
    </row>
    <row r="68" spans="1:6" x14ac:dyDescent="0.25">
      <c r="A68">
        <v>84</v>
      </c>
      <c r="B68" s="2">
        <v>39.199612564490117</v>
      </c>
      <c r="C68" s="81">
        <f t="shared" si="9"/>
        <v>0.84281347720815347</v>
      </c>
      <c r="D68" s="1">
        <v>1.7318826182208045</v>
      </c>
      <c r="E68" s="82">
        <f t="shared" si="3"/>
        <v>2.0548824444024327</v>
      </c>
      <c r="F68" s="81">
        <f t="shared" ref="F68:F131" si="10">F67+D68</f>
        <v>55.515824080994584</v>
      </c>
    </row>
    <row r="69" spans="1:6" x14ac:dyDescent="0.25">
      <c r="A69">
        <v>85</v>
      </c>
      <c r="B69" s="2">
        <v>40.04242604169827</v>
      </c>
      <c r="C69" s="81">
        <f t="shared" si="9"/>
        <v>0.84868293708318987</v>
      </c>
      <c r="D69" s="1">
        <v>1.7602926264327861</v>
      </c>
      <c r="E69" s="82">
        <f t="shared" si="3"/>
        <v>2.0741463619884679</v>
      </c>
      <c r="F69" s="81">
        <f t="shared" si="10"/>
        <v>57.27611670742737</v>
      </c>
    </row>
    <row r="70" spans="1:6" x14ac:dyDescent="0.25">
      <c r="A70">
        <v>86</v>
      </c>
      <c r="B70" s="2">
        <v>40.89110897878146</v>
      </c>
      <c r="C70" s="81">
        <f t="shared" si="9"/>
        <v>0.85440112019596626</v>
      </c>
      <c r="D70" s="1">
        <v>1.7884768514193998</v>
      </c>
      <c r="E70" s="82">
        <f t="shared" si="3"/>
        <v>2.0932519973864183</v>
      </c>
      <c r="F70" s="81">
        <f t="shared" si="10"/>
        <v>59.064593558846767</v>
      </c>
    </row>
    <row r="71" spans="1:6" x14ac:dyDescent="0.25">
      <c r="A71">
        <v>87</v>
      </c>
      <c r="B71" s="2">
        <v>41.745510098977427</v>
      </c>
      <c r="C71" s="81">
        <f t="shared" si="9"/>
        <v>0.85996802746220879</v>
      </c>
      <c r="D71" s="1">
        <v>1.8164235917938449</v>
      </c>
      <c r="E71" s="82">
        <f t="shared" si="3"/>
        <v>2.1121989815762858</v>
      </c>
      <c r="F71" s="81">
        <f t="shared" si="10"/>
        <v>60.881017150640609</v>
      </c>
    </row>
    <row r="72" spans="1:6" x14ac:dyDescent="0.25">
      <c r="A72">
        <v>88</v>
      </c>
      <c r="B72" s="2">
        <v>42.605478126439635</v>
      </c>
      <c r="C72" s="81">
        <f t="shared" si="9"/>
        <v>0.86538373035220673</v>
      </c>
      <c r="D72" s="1">
        <v>1.8441216969933927</v>
      </c>
      <c r="E72" s="82">
        <f t="shared" si="3"/>
        <v>2.1309872514506885</v>
      </c>
      <c r="F72" s="81">
        <f t="shared" si="10"/>
        <v>62.725138847634</v>
      </c>
    </row>
    <row r="73" spans="1:6" x14ac:dyDescent="0.25">
      <c r="A73">
        <v>89</v>
      </c>
      <c r="B73" s="2">
        <v>43.470861856791842</v>
      </c>
      <c r="C73" s="81">
        <f t="shared" si="9"/>
        <v>0.87064836954104408</v>
      </c>
      <c r="D73" s="1">
        <v>1.8715605730355684</v>
      </c>
      <c r="E73" s="82">
        <f t="shared" si="3"/>
        <v>2.1496170423223186</v>
      </c>
      <c r="F73" s="81">
        <f t="shared" si="10"/>
        <v>64.596699420669566</v>
      </c>
    </row>
    <row r="74" spans="1:6" x14ac:dyDescent="0.25">
      <c r="A74">
        <v>90</v>
      </c>
      <c r="B74" s="2">
        <v>44.341510226332886</v>
      </c>
      <c r="C74" s="81">
        <f t="shared" si="9"/>
        <v>0.87576215352669351</v>
      </c>
      <c r="D74" s="1">
        <v>1.8987301866334616</v>
      </c>
      <c r="E74" s="82">
        <f t="shared" ref="E74:E137" si="11">D74/C74</f>
        <v>2.1680888800541069</v>
      </c>
      <c r="F74" s="81">
        <f t="shared" si="10"/>
        <v>66.495429607303024</v>
      </c>
    </row>
    <row r="75" spans="1:6" x14ac:dyDescent="0.25">
      <c r="A75">
        <v>91</v>
      </c>
      <c r="B75" s="2">
        <v>45.21727237985958</v>
      </c>
      <c r="C75" s="81">
        <f t="shared" si="9"/>
        <v>0.88072535721835976</v>
      </c>
      <c r="D75" s="1">
        <v>1.9256210677093988</v>
      </c>
      <c r="E75" s="82">
        <f t="shared" si="11"/>
        <v>2.186403572835903</v>
      </c>
      <c r="F75" s="81">
        <f t="shared" si="10"/>
        <v>68.421050675012424</v>
      </c>
    </row>
    <row r="76" spans="1:6" x14ac:dyDescent="0.25">
      <c r="A76">
        <v>92</v>
      </c>
      <c r="B76" s="2">
        <v>46.097997737077939</v>
      </c>
      <c r="C76" s="81">
        <f t="shared" si="9"/>
        <v>0.88553832049718295</v>
      </c>
      <c r="D76" s="1">
        <v>1.9522243103521277</v>
      </c>
      <c r="E76" s="82">
        <f t="shared" si="11"/>
        <v>2.204562202634051</v>
      </c>
      <c r="F76" s="81">
        <f t="shared" si="10"/>
        <v>70.373274985364546</v>
      </c>
    </row>
    <row r="77" spans="1:6" x14ac:dyDescent="0.25">
      <c r="A77">
        <v>93</v>
      </c>
      <c r="B77" s="2">
        <v>46.983536057575122</v>
      </c>
      <c r="C77" s="81">
        <f t="shared" si="9"/>
        <v>0.89020144675096446</v>
      </c>
      <c r="D77" s="1">
        <v>1.9785315722680665</v>
      </c>
      <c r="E77" s="82">
        <f t="shared" si="11"/>
        <v>2.2225661163428376</v>
      </c>
      <c r="F77" s="81">
        <f t="shared" si="10"/>
        <v>72.351806557632614</v>
      </c>
    </row>
    <row r="78" spans="1:6" x14ac:dyDescent="0.25">
      <c r="A78">
        <v>94</v>
      </c>
      <c r="B78" s="2">
        <v>47.873737504326087</v>
      </c>
      <c r="C78" s="81">
        <f t="shared" si="9"/>
        <v>0.89471520138570781</v>
      </c>
      <c r="D78" s="1">
        <v>2.0045350727820388</v>
      </c>
      <c r="E78" s="82">
        <f t="shared" si="11"/>
        <v>2.2404169166651862</v>
      </c>
      <c r="F78" s="81">
        <f t="shared" si="10"/>
        <v>74.356341630414647</v>
      </c>
    </row>
    <row r="79" spans="1:6" x14ac:dyDescent="0.25">
      <c r="A79">
        <v>95</v>
      </c>
      <c r="B79" s="2">
        <v>48.768452705711795</v>
      </c>
      <c r="C79" s="81">
        <f t="shared" si="9"/>
        <v>0.89908011031527479</v>
      </c>
      <c r="D79" s="1">
        <v>2.0302275894473265</v>
      </c>
      <c r="E79" s="82">
        <f t="shared" si="11"/>
        <v>2.2581164527545821</v>
      </c>
      <c r="F79" s="81">
        <f t="shared" si="10"/>
        <v>76.386569219861968</v>
      </c>
    </row>
    <row r="80" spans="1:6" x14ac:dyDescent="0.25">
      <c r="A80">
        <v>96</v>
      </c>
      <c r="B80" s="2">
        <v>49.667532816027069</v>
      </c>
      <c r="C80" s="81">
        <f t="shared" si="9"/>
        <v>0.90329675843201329</v>
      </c>
      <c r="D80" s="1">
        <v>2.0556024533286958</v>
      </c>
      <c r="E80" s="82">
        <f t="shared" si="11"/>
        <v>2.2756668106469364</v>
      </c>
      <c r="F80" s="81">
        <f t="shared" si="10"/>
        <v>78.442171673190671</v>
      </c>
    </row>
    <row r="81" spans="1:6" x14ac:dyDescent="0.25">
      <c r="A81">
        <v>97</v>
      </c>
      <c r="B81" s="2">
        <v>50.570829574459083</v>
      </c>
      <c r="C81" s="81">
        <f t="shared" si="9"/>
        <v>0.90736578805986312</v>
      </c>
      <c r="D81" s="1">
        <v>2.0806535430253907</v>
      </c>
      <c r="E81" s="82">
        <f t="shared" si="11"/>
        <v>2.2930703035148161</v>
      </c>
      <c r="F81" s="81">
        <f t="shared" si="10"/>
        <v>80.522825216216063</v>
      </c>
    </row>
    <row r="82" spans="1:6" x14ac:dyDescent="0.25">
      <c r="A82">
        <v>98</v>
      </c>
      <c r="B82" s="2">
        <v>51.478195362518946</v>
      </c>
      <c r="C82" s="81">
        <f t="shared" si="9"/>
        <v>0.91128789739229177</v>
      </c>
      <c r="D82" s="1">
        <v>2.1053752775039052</v>
      </c>
      <c r="E82" s="82">
        <f t="shared" si="11"/>
        <v>2.3103294617744519</v>
      </c>
      <c r="F82" s="81">
        <f t="shared" si="10"/>
        <v>82.628200493719973</v>
      </c>
    </row>
    <row r="83" spans="1:6" x14ac:dyDescent="0.25">
      <c r="A83">
        <v>99</v>
      </c>
      <c r="B83" s="2">
        <v>52.389483259911238</v>
      </c>
      <c r="C83" s="81">
        <f t="shared" si="9"/>
        <v>0.9150638389170993</v>
      </c>
      <c r="D83" s="1">
        <v>2.1297626078126042</v>
      </c>
      <c r="E83" s="82">
        <f t="shared" si="11"/>
        <v>2.327447023076552</v>
      </c>
      <c r="F83" s="81">
        <f t="shared" si="10"/>
        <v>84.757963101532582</v>
      </c>
    </row>
    <row r="84" spans="1:6" x14ac:dyDescent="0.25">
      <c r="A84">
        <v>100</v>
      </c>
      <c r="B84" s="2">
        <v>53.304547098828337</v>
      </c>
      <c r="C84" s="81">
        <f t="shared" si="9"/>
        <v>0.91869441783000383</v>
      </c>
      <c r="D84" s="1">
        <v>2.1538110077520929</v>
      </c>
      <c r="E84" s="82">
        <f t="shared" si="11"/>
        <v>2.344425922211967</v>
      </c>
      <c r="F84" s="81">
        <f t="shared" si="10"/>
        <v>86.911774109284679</v>
      </c>
    </row>
    <row r="85" spans="1:6" x14ac:dyDescent="0.25">
      <c r="A85">
        <v>101</v>
      </c>
      <c r="B85" s="2">
        <v>54.223241516658341</v>
      </c>
      <c r="C85" s="81">
        <f t="shared" si="9"/>
        <v>0.92218049043936645</v>
      </c>
      <c r="D85" s="1">
        <v>2.1775164635764881</v>
      </c>
      <c r="E85" s="82">
        <f t="shared" si="11"/>
        <v>2.3612692809615021</v>
      </c>
      <c r="F85" s="81">
        <f t="shared" si="10"/>
        <v>89.089290572861159</v>
      </c>
    </row>
    <row r="86" spans="1:6" x14ac:dyDescent="0.25">
      <c r="A86">
        <v>102</v>
      </c>
      <c r="B86" s="2">
        <v>55.145422007097707</v>
      </c>
      <c r="C86" s="81">
        <f t="shared" si="9"/>
        <v>0.92552296256313582</v>
      </c>
      <c r="D86" s="1">
        <v>2.2008754628016005</v>
      </c>
      <c r="E86" s="82">
        <f t="shared" si="11"/>
        <v>2.3779803979217475</v>
      </c>
      <c r="F86" s="81">
        <f t="shared" si="10"/>
        <v>91.290166035662764</v>
      </c>
    </row>
    <row r="87" spans="1:6" x14ac:dyDescent="0.25">
      <c r="A87">
        <v>103</v>
      </c>
      <c r="B87" s="2">
        <v>56.070944969660843</v>
      </c>
      <c r="C87" s="81">
        <f t="shared" si="9"/>
        <v>0.92872278792135887</v>
      </c>
      <c r="D87" s="1">
        <v>2.223884982196386</v>
      </c>
      <c r="E87" s="82">
        <f t="shared" si="11"/>
        <v>2.3945627383320942</v>
      </c>
      <c r="F87" s="81">
        <f t="shared" si="10"/>
        <v>93.514051017859146</v>
      </c>
    </row>
    <row r="88" spans="1:6" x14ac:dyDescent="0.25">
      <c r="A88">
        <v>104</v>
      </c>
      <c r="B88" s="2">
        <v>56.999667757582202</v>
      </c>
      <c r="C88" s="81">
        <f t="shared" si="9"/>
        <v>0.93178096652476938</v>
      </c>
      <c r="D88" s="1">
        <v>2.2465424750339666</v>
      </c>
      <c r="E88" s="82">
        <f t="shared" si="11"/>
        <v>2.4110199239342878</v>
      </c>
      <c r="F88" s="81">
        <f t="shared" si="10"/>
        <v>95.760593492893108</v>
      </c>
    </row>
    <row r="89" spans="1:6" x14ac:dyDescent="0.25">
      <c r="A89">
        <v>105</v>
      </c>
      <c r="B89" s="2">
        <v>57.931448724106971</v>
      </c>
      <c r="C89" s="81">
        <f t="shared" si="9"/>
        <v>0.93469854306219702</v>
      </c>
      <c r="D89" s="1">
        <v>2.2688458576780723</v>
      </c>
      <c r="E89" s="82">
        <f t="shared" si="11"/>
        <v>2.4273557228890406</v>
      </c>
      <c r="F89" s="81">
        <f t="shared" si="10"/>
        <v>98.029439350571181</v>
      </c>
    </row>
    <row r="90" spans="1:6" x14ac:dyDescent="0.25">
      <c r="A90">
        <v>106</v>
      </c>
      <c r="B90" s="2">
        <v>58.866147267169168</v>
      </c>
      <c r="C90" s="81">
        <f t="shared" si="9"/>
        <v>0.93747660528817534</v>
      </c>
      <c r="D90" s="1">
        <v>2.2907934955798606</v>
      </c>
      <c r="E90" s="82">
        <f t="shared" si="11"/>
        <v>2.4435740397763661</v>
      </c>
      <c r="F90" s="81">
        <f t="shared" si="10"/>
        <v>100.32023284615104</v>
      </c>
    </row>
    <row r="91" spans="1:6" x14ac:dyDescent="0.25">
      <c r="A91">
        <v>107</v>
      </c>
      <c r="B91" s="2">
        <v>59.803623872457344</v>
      </c>
      <c r="C91" s="81">
        <f t="shared" si="9"/>
        <v>0.94011628241293721</v>
      </c>
      <c r="D91" s="1">
        <v>2.312384188758926</v>
      </c>
      <c r="E91" s="82">
        <f t="shared" si="11"/>
        <v>2.4596789057028938</v>
      </c>
      <c r="F91" s="81">
        <f t="shared" si="10"/>
        <v>102.63261703490997</v>
      </c>
    </row>
    <row r="92" spans="1:6" x14ac:dyDescent="0.25">
      <c r="A92">
        <v>108</v>
      </c>
      <c r="B92" s="2">
        <v>60.743740154870281</v>
      </c>
      <c r="C92" s="81">
        <f t="shared" si="9"/>
        <v>0.94261874349588481</v>
      </c>
      <c r="D92" s="1">
        <v>2.3336171568407291</v>
      </c>
      <c r="E92" s="82">
        <f t="shared" si="11"/>
        <v>2.4756744685407552</v>
      </c>
      <c r="F92" s="81">
        <f t="shared" si="10"/>
        <v>104.9662341917507</v>
      </c>
    </row>
    <row r="93" spans="1:6" x14ac:dyDescent="0.25">
      <c r="A93">
        <v>109</v>
      </c>
      <c r="B93" s="2">
        <v>61.686358898366166</v>
      </c>
      <c r="C93" s="81">
        <f t="shared" si="9"/>
        <v>0.94498519584487184</v>
      </c>
      <c r="D93" s="1">
        <v>2.3544920237208773</v>
      </c>
      <c r="E93" s="82">
        <f t="shared" si="11"/>
        <v>2.4915649833178861</v>
      </c>
      <c r="F93" s="81">
        <f t="shared" si="10"/>
        <v>107.32072621547158</v>
      </c>
    </row>
    <row r="94" spans="1:6" x14ac:dyDescent="0.25">
      <c r="A94">
        <v>110</v>
      </c>
      <c r="B94" s="2">
        <v>62.631344094211038</v>
      </c>
      <c r="C94" s="81">
        <f t="shared" si="9"/>
        <v>0.94721688342244903</v>
      </c>
      <c r="D94" s="1">
        <v>2.3750088019245941</v>
      </c>
      <c r="E94" s="82">
        <f t="shared" si="11"/>
        <v>2.5073548027810695</v>
      </c>
      <c r="F94" s="81">
        <f t="shared" si="10"/>
        <v>109.69573501739617</v>
      </c>
    </row>
    <row r="95" spans="1:6" x14ac:dyDescent="0.25">
      <c r="A95">
        <v>111</v>
      </c>
      <c r="B95" s="2">
        <v>63.578560977633487</v>
      </c>
      <c r="C95" s="81">
        <f t="shared" si="9"/>
        <v>0.94931508526099151</v>
      </c>
      <c r="D95" s="1">
        <v>2.3951678767273723</v>
      </c>
      <c r="E95" s="82">
        <f t="shared" si="11"/>
        <v>2.52304836814942</v>
      </c>
      <c r="F95" s="81">
        <f t="shared" si="10"/>
        <v>112.09090289412354</v>
      </c>
    </row>
    <row r="96" spans="1:6" x14ac:dyDescent="0.25">
      <c r="A96">
        <v>112</v>
      </c>
      <c r="B96" s="2">
        <v>64.527876062894478</v>
      </c>
      <c r="C96" s="81">
        <f t="shared" si="9"/>
        <v>0.95128111388766001</v>
      </c>
      <c r="D96" s="1">
        <v>2.4149699901002748</v>
      </c>
      <c r="E96" s="82">
        <f t="shared" si="11"/>
        <v>2.5386502000768898</v>
      </c>
      <c r="F96" s="81">
        <f t="shared" si="10"/>
        <v>114.50587288422382</v>
      </c>
    </row>
    <row r="97" spans="1:6" x14ac:dyDescent="0.25">
      <c r="A97">
        <v>113</v>
      </c>
      <c r="B97" s="2">
        <v>65.479157176782138</v>
      </c>
      <c r="C97" s="81">
        <f t="shared" si="9"/>
        <v>0.95311631376156924</v>
      </c>
      <c r="D97" s="1">
        <v>2.4344162245406178</v>
      </c>
      <c r="E97" s="82">
        <f t="shared" si="11"/>
        <v>2.5541648898369496</v>
      </c>
      <c r="F97" s="81">
        <f t="shared" si="10"/>
        <v>116.94028910876443</v>
      </c>
    </row>
    <row r="98" spans="1:6" x14ac:dyDescent="0.25">
      <c r="A98">
        <v>114</v>
      </c>
      <c r="B98" s="2">
        <v>66.432273490543707</v>
      </c>
      <c r="C98" s="81">
        <f t="shared" si="9"/>
        <v>0.95482205972336942</v>
      </c>
      <c r="D98" s="1">
        <v>2.4535079868459162</v>
      </c>
      <c r="E98" s="82">
        <f t="shared" si="11"/>
        <v>2.5695970907466732</v>
      </c>
      <c r="F98" s="81">
        <f t="shared" si="10"/>
        <v>119.39379709561035</v>
      </c>
    </row>
    <row r="99" spans="1:6" x14ac:dyDescent="0.25">
      <c r="A99">
        <v>115</v>
      </c>
      <c r="B99" s="2">
        <v>67.387095550267077</v>
      </c>
      <c r="C99" s="81">
        <f t="shared" si="9"/>
        <v>0.95639975545985578</v>
      </c>
      <c r="D99" s="1">
        <v>2.4722469918859575</v>
      </c>
      <c r="E99" s="82">
        <f t="shared" si="11"/>
        <v>2.5849515098393692</v>
      </c>
      <c r="F99" s="81">
        <f t="shared" si="10"/>
        <v>121.86604408749631</v>
      </c>
    </row>
    <row r="100" spans="1:6" x14ac:dyDescent="0.25">
      <c r="A100">
        <v>116</v>
      </c>
      <c r="B100" s="2">
        <v>68.343495305726933</v>
      </c>
      <c r="C100" s="81">
        <f t="shared" si="9"/>
        <v>0.95785083198346399</v>
      </c>
      <c r="D100" s="1">
        <v>2.4906352464247883</v>
      </c>
      <c r="E100" s="82">
        <f t="shared" si="11"/>
        <v>2.6002328998006088</v>
      </c>
      <c r="F100" s="81">
        <f t="shared" si="10"/>
        <v>124.35667933392109</v>
      </c>
    </row>
    <row r="101" spans="1:6" x14ac:dyDescent="0.25">
      <c r="A101">
        <v>117</v>
      </c>
      <c r="B101" s="2">
        <v>69.301346137710397</v>
      </c>
      <c r="C101" s="81">
        <f t="shared" si="9"/>
        <v>0.9591767461294296</v>
      </c>
      <c r="D101" s="1">
        <v>2.5086750330412286</v>
      </c>
      <c r="E101" s="82">
        <f t="shared" si="11"/>
        <v>2.6154460511730466</v>
      </c>
      <c r="F101" s="81">
        <f t="shared" si="10"/>
        <v>126.86535436696232</v>
      </c>
    </row>
    <row r="102" spans="1:6" x14ac:dyDescent="0.25">
      <c r="A102">
        <v>118</v>
      </c>
      <c r="B102" s="2">
        <v>70.260522883839826</v>
      </c>
      <c r="C102" s="81">
        <f t="shared" si="9"/>
        <v>0.9603789790704127</v>
      </c>
      <c r="D102" s="1">
        <v>2.5263688941933191</v>
      </c>
      <c r="E102" s="82">
        <f t="shared" si="11"/>
        <v>2.6305957848418209</v>
      </c>
      <c r="F102" s="81">
        <f t="shared" si="10"/>
        <v>129.39172326115565</v>
      </c>
    </row>
    <row r="103" spans="1:6" x14ac:dyDescent="0.25">
      <c r="A103">
        <v>119</v>
      </c>
      <c r="B103" s="2">
        <v>71.220901862910239</v>
      </c>
      <c r="C103" s="81">
        <f t="shared" si="9"/>
        <v>0.96145903485042084</v>
      </c>
      <c r="D103" s="1">
        <v>2.5437196164688656</v>
      </c>
      <c r="E103" s="82">
        <f t="shared" si="11"/>
        <v>2.6456869448053033</v>
      </c>
      <c r="F103" s="81">
        <f t="shared" si="10"/>
        <v>131.93544287762452</v>
      </c>
    </row>
    <row r="104" spans="1:6" x14ac:dyDescent="0.25">
      <c r="A104">
        <v>120</v>
      </c>
      <c r="B104" s="2">
        <v>72.18236089776066</v>
      </c>
      <c r="C104" s="81">
        <f t="shared" si="9"/>
        <v>0.96241843893868406</v>
      </c>
      <c r="D104" s="1">
        <v>2.5607302150610085</v>
      </c>
      <c r="E104" s="82">
        <f t="shared" si="11"/>
        <v>2.6607243912376384</v>
      </c>
      <c r="F104" s="81">
        <f t="shared" si="10"/>
        <v>134.49617309268552</v>
      </c>
    </row>
    <row r="105" spans="1:6" x14ac:dyDescent="0.25">
      <c r="A105">
        <v>121</v>
      </c>
      <c r="B105" s="2">
        <v>73.144779336699344</v>
      </c>
      <c r="C105" s="81">
        <f t="shared" si="9"/>
        <v>0.96325873680507357</v>
      </c>
      <c r="D105" s="1">
        <v>2.5774039185044937</v>
      </c>
      <c r="E105" s="82">
        <f t="shared" si="11"/>
        <v>2.6757129938454542</v>
      </c>
      <c r="F105" s="81">
        <f t="shared" si="10"/>
        <v>137.07357701119003</v>
      </c>
    </row>
    <row r="106" spans="1:6" x14ac:dyDescent="0.25">
      <c r="A106">
        <v>122</v>
      </c>
      <c r="B106" s="2">
        <v>74.108038073504417</v>
      </c>
      <c r="C106" s="81">
        <f t="shared" si="9"/>
        <v>0.96398149251699294</v>
      </c>
      <c r="D106" s="1">
        <v>2.5937441537051837</v>
      </c>
      <c r="E106" s="82">
        <f t="shared" si="11"/>
        <v>2.6906576255243424</v>
      </c>
      <c r="F106" s="81">
        <f t="shared" si="10"/>
        <v>139.66732116489521</v>
      </c>
    </row>
    <row r="107" spans="1:6" x14ac:dyDescent="0.25">
      <c r="A107">
        <v>123</v>
      </c>
      <c r="B107" s="2">
        <v>75.07201956602141</v>
      </c>
      <c r="C107" s="81">
        <f t="shared" si="9"/>
        <v>0.9645882873595184</v>
      </c>
      <c r="D107" s="1">
        <v>2.6097545312921309</v>
      </c>
      <c r="E107" s="82">
        <f t="shared" si="11"/>
        <v>2.705563156314204</v>
      </c>
      <c r="F107" s="81">
        <f t="shared" si="10"/>
        <v>142.27707569618735</v>
      </c>
    </row>
    <row r="108" spans="1:6" x14ac:dyDescent="0.25">
      <c r="A108">
        <v>124</v>
      </c>
      <c r="B108" s="2">
        <v>76.036607853380929</v>
      </c>
      <c r="C108" s="81">
        <f t="shared" si="9"/>
        <v>0.9650807184789727</v>
      </c>
      <c r="D108" s="1">
        <v>2.6254388313185109</v>
      </c>
      <c r="E108" s="82">
        <f t="shared" si="11"/>
        <v>2.7204344476557005</v>
      </c>
      <c r="F108" s="81">
        <f t="shared" si="10"/>
        <v>144.90251452750587</v>
      </c>
    </row>
    <row r="109" spans="1:6" x14ac:dyDescent="0.25">
      <c r="A109">
        <v>125</v>
      </c>
      <c r="B109" s="2">
        <v>77.001688571859901</v>
      </c>
      <c r="C109" s="81">
        <f t="shared" ref="C109:C172" si="12">B110-B109</f>
        <v>0.96546039755109803</v>
      </c>
      <c r="D109" s="1">
        <v>2.6408009893347169</v>
      </c>
      <c r="E109" s="82">
        <f t="shared" si="11"/>
        <v>2.7352763469461205</v>
      </c>
      <c r="F109" s="81">
        <f t="shared" si="10"/>
        <v>147.54331551684058</v>
      </c>
    </row>
    <row r="110" spans="1:6" x14ac:dyDescent="0.25">
      <c r="A110">
        <v>126</v>
      </c>
      <c r="B110" s="2">
        <v>77.967148969410999</v>
      </c>
      <c r="C110" s="81">
        <f t="shared" si="12"/>
        <v>0.96572894947391319</v>
      </c>
      <c r="D110" s="1">
        <v>2.6558450828539613</v>
      </c>
      <c r="E110" s="82">
        <f t="shared" si="11"/>
        <v>2.7500936823947852</v>
      </c>
      <c r="F110" s="81">
        <f t="shared" si="10"/>
        <v>150.19916059969455</v>
      </c>
    </row>
    <row r="111" spans="1:6" x14ac:dyDescent="0.25">
      <c r="A111">
        <v>127</v>
      </c>
      <c r="B111" s="2">
        <v>78.932877918884913</v>
      </c>
      <c r="C111" s="81">
        <f t="shared" si="12"/>
        <v>0.96588801108691769</v>
      </c>
      <c r="D111" s="1">
        <v>2.6705753182279626</v>
      </c>
      <c r="E111" s="82">
        <f t="shared" si="11"/>
        <v>2.7648912581726255</v>
      </c>
      <c r="F111" s="81">
        <f t="shared" si="10"/>
        <v>152.86973591792253</v>
      </c>
    </row>
    <row r="112" spans="1:6" x14ac:dyDescent="0.25">
      <c r="A112">
        <v>128</v>
      </c>
      <c r="B112" s="2">
        <v>79.89876592997183</v>
      </c>
      <c r="C112" s="81">
        <f t="shared" si="12"/>
        <v>0.96593922991567638</v>
      </c>
      <c r="D112" s="1">
        <v>2.6849960179476078</v>
      </c>
      <c r="E112" s="82">
        <f t="shared" si="11"/>
        <v>2.7796738498569935</v>
      </c>
      <c r="F112" s="81">
        <f t="shared" si="10"/>
        <v>155.55473193587014</v>
      </c>
    </row>
    <row r="113" spans="1:6" x14ac:dyDescent="0.25">
      <c r="A113">
        <v>129</v>
      </c>
      <c r="B113" s="2">
        <v>80.864705159887507</v>
      </c>
      <c r="C113" s="81">
        <f t="shared" si="12"/>
        <v>0.96588426294388796</v>
      </c>
      <c r="D113" s="1">
        <v>2.6991116083808495</v>
      </c>
      <c r="E113" s="82">
        <f t="shared" si="11"/>
        <v>2.7944462001630641</v>
      </c>
      <c r="F113" s="81">
        <f t="shared" si="10"/>
        <v>158.253843544251</v>
      </c>
    </row>
    <row r="114" spans="1:6" x14ac:dyDescent="0.25">
      <c r="A114">
        <v>130</v>
      </c>
      <c r="B114" s="2">
        <v>81.830589422831395</v>
      </c>
      <c r="C114" s="81">
        <f t="shared" si="12"/>
        <v>0.96572477541231194</v>
      </c>
      <c r="D114" s="1">
        <v>2.7129266079576846</v>
      </c>
      <c r="E114" s="82">
        <f t="shared" si="11"/>
        <v>2.8092130149600982</v>
      </c>
      <c r="F114" s="81">
        <f t="shared" si="10"/>
        <v>160.96677015220868</v>
      </c>
    </row>
    <row r="115" spans="1:6" x14ac:dyDescent="0.25">
      <c r="A115">
        <v>131</v>
      </c>
      <c r="B115" s="2">
        <v>82.796314198243707</v>
      </c>
      <c r="C115" s="81">
        <f t="shared" si="12"/>
        <v>0.96546243964530731</v>
      </c>
      <c r="D115" s="1">
        <v>2.7264456158097241</v>
      </c>
      <c r="E115" s="82">
        <f t="shared" si="11"/>
        <v>2.8239789595661211</v>
      </c>
      <c r="F115" s="81">
        <f t="shared" si="10"/>
        <v>163.6932157680184</v>
      </c>
    </row>
    <row r="116" spans="1:6" x14ac:dyDescent="0.25">
      <c r="A116">
        <v>132</v>
      </c>
      <c r="B116" s="2">
        <v>83.761776637889014</v>
      </c>
      <c r="C116" s="81">
        <f t="shared" si="12"/>
        <v>0.96509893390536661</v>
      </c>
      <c r="D116" s="1">
        <v>2.7396733008696259</v>
      </c>
      <c r="E116" s="82">
        <f t="shared" si="11"/>
        <v>2.83874865531482</v>
      </c>
      <c r="F116" s="81">
        <f t="shared" si="10"/>
        <v>166.43288906888802</v>
      </c>
    </row>
    <row r="117" spans="1:6" x14ac:dyDescent="0.25">
      <c r="A117">
        <v>133</v>
      </c>
      <c r="B117" s="2">
        <v>84.72687557179438</v>
      </c>
      <c r="C117" s="81">
        <f t="shared" si="12"/>
        <v>0.96463594127602903</v>
      </c>
      <c r="D117" s="1">
        <v>2.7526143914336654</v>
      </c>
      <c r="E117" s="82">
        <f t="shared" si="11"/>
        <v>2.8535266763878635</v>
      </c>
      <c r="F117" s="81">
        <f t="shared" si="10"/>
        <v>169.18550346032168</v>
      </c>
    </row>
    <row r="118" spans="1:6" x14ac:dyDescent="0.25">
      <c r="A118">
        <v>134</v>
      </c>
      <c r="B118" s="2">
        <v>85.691511513070409</v>
      </c>
      <c r="C118" s="81">
        <f t="shared" si="12"/>
        <v>0.9640751485730874</v>
      </c>
      <c r="D118" s="1">
        <v>2.7652736651887135</v>
      </c>
      <c r="E118" s="82">
        <f t="shared" si="11"/>
        <v>2.8683175469065372</v>
      </c>
      <c r="F118" s="81">
        <f t="shared" si="10"/>
        <v>171.9507771255104</v>
      </c>
    </row>
    <row r="119" spans="1:6" x14ac:dyDescent="0.25">
      <c r="A119">
        <v>135</v>
      </c>
      <c r="B119" s="2">
        <v>86.655586661643497</v>
      </c>
      <c r="C119" s="81">
        <f t="shared" si="12"/>
        <v>0.96341824528457209</v>
      </c>
      <c r="D119" s="1">
        <v>2.7776559397031382</v>
      </c>
      <c r="E119" s="82">
        <f t="shared" si="11"/>
        <v>2.8831257382744302</v>
      </c>
      <c r="F119" s="81">
        <f t="shared" si="10"/>
        <v>174.72843306521355</v>
      </c>
    </row>
    <row r="120" spans="1:6" x14ac:dyDescent="0.25">
      <c r="A120">
        <v>136</v>
      </c>
      <c r="B120" s="2">
        <v>87.619004906928069</v>
      </c>
      <c r="C120" s="81">
        <f t="shared" si="12"/>
        <v>0.96266692253976771</v>
      </c>
      <c r="D120" s="1">
        <v>2.7897660633794832</v>
      </c>
      <c r="E120" s="82">
        <f t="shared" si="11"/>
        <v>2.8979556667630679</v>
      </c>
      <c r="F120" s="81">
        <f t="shared" si="10"/>
        <v>177.51819912859304</v>
      </c>
    </row>
    <row r="121" spans="1:6" x14ac:dyDescent="0.25">
      <c r="A121">
        <v>137</v>
      </c>
      <c r="B121" s="2">
        <v>88.581671829467837</v>
      </c>
      <c r="C121" s="81">
        <f t="shared" si="12"/>
        <v>0.96182287210703521</v>
      </c>
      <c r="D121" s="1">
        <v>2.8016089068652255</v>
      </c>
      <c r="E121" s="82">
        <f t="shared" si="11"/>
        <v>2.912811691333383</v>
      </c>
      <c r="F121" s="81">
        <f t="shared" si="10"/>
        <v>180.31980803545827</v>
      </c>
    </row>
    <row r="122" spans="1:6" x14ac:dyDescent="0.25">
      <c r="A122">
        <v>138</v>
      </c>
      <c r="B122" s="2">
        <v>89.543494701574872</v>
      </c>
      <c r="C122" s="81">
        <f t="shared" si="12"/>
        <v>0.96088778542060993</v>
      </c>
      <c r="D122" s="1">
        <v>2.8131893549165219</v>
      </c>
      <c r="E122" s="82">
        <f t="shared" si="11"/>
        <v>2.9276981116843972</v>
      </c>
      <c r="F122" s="81">
        <f t="shared" si="10"/>
        <v>183.13299739037478</v>
      </c>
    </row>
    <row r="123" spans="1:6" x14ac:dyDescent="0.25">
      <c r="A123">
        <v>139</v>
      </c>
      <c r="B123" s="2">
        <v>90.504382486995482</v>
      </c>
      <c r="C123" s="81">
        <f t="shared" si="12"/>
        <v>0.9598633526368161</v>
      </c>
      <c r="D123" s="1">
        <v>2.8245122987085898</v>
      </c>
      <c r="E123" s="82">
        <f t="shared" si="11"/>
        <v>2.942619166519322</v>
      </c>
      <c r="F123" s="81">
        <f t="shared" si="10"/>
        <v>185.95750968908337</v>
      </c>
    </row>
    <row r="124" spans="1:6" x14ac:dyDescent="0.25">
      <c r="A124">
        <v>140</v>
      </c>
      <c r="B124" s="2">
        <v>91.464245839632298</v>
      </c>
      <c r="C124" s="81">
        <f t="shared" si="12"/>
        <v>0.95875126171910097</v>
      </c>
      <c r="D124" s="1">
        <v>2.8355826285852119</v>
      </c>
      <c r="E124" s="82">
        <f t="shared" si="11"/>
        <v>2.9575790320221689</v>
      </c>
      <c r="F124" s="81">
        <f t="shared" si="10"/>
        <v>188.79309231766857</v>
      </c>
    </row>
    <row r="125" spans="1:6" x14ac:dyDescent="0.25">
      <c r="A125">
        <v>141</v>
      </c>
      <c r="B125" s="2">
        <v>92.422997101351399</v>
      </c>
      <c r="C125" s="81">
        <f t="shared" si="12"/>
        <v>0.95755319755218693</v>
      </c>
      <c r="D125" s="1">
        <v>2.8464052272388294</v>
      </c>
      <c r="E125" s="82">
        <f t="shared" si="11"/>
        <v>2.9725818205350407</v>
      </c>
      <c r="F125" s="81">
        <f t="shared" si="10"/>
        <v>191.63949754490739</v>
      </c>
    </row>
    <row r="126" spans="1:6" x14ac:dyDescent="0.25">
      <c r="A126">
        <v>142</v>
      </c>
      <c r="B126" s="2">
        <v>93.380550298903586</v>
      </c>
      <c r="C126" s="81">
        <f t="shared" si="12"/>
        <v>0.95627084108507177</v>
      </c>
      <c r="D126" s="1">
        <v>2.856984963311767</v>
      </c>
      <c r="E126" s="82">
        <f t="shared" si="11"/>
        <v>2.9876315794278243</v>
      </c>
      <c r="F126" s="81">
        <f t="shared" si="10"/>
        <v>194.49648250821915</v>
      </c>
    </row>
    <row r="127" spans="1:6" x14ac:dyDescent="0.25">
      <c r="A127">
        <v>143</v>
      </c>
      <c r="B127" s="2">
        <v>94.336821139988658</v>
      </c>
      <c r="C127" s="81">
        <f t="shared" si="12"/>
        <v>0.9549058685032179</v>
      </c>
      <c r="D127" s="1">
        <v>2.8673266854083379</v>
      </c>
      <c r="E127" s="82">
        <f t="shared" si="11"/>
        <v>3.0027322901499955</v>
      </c>
      <c r="F127" s="81">
        <f t="shared" si="10"/>
        <v>197.36380919362747</v>
      </c>
    </row>
    <row r="128" spans="1:6" x14ac:dyDescent="0.25">
      <c r="A128">
        <v>144</v>
      </c>
      <c r="B128" s="2">
        <v>95.291727008491875</v>
      </c>
      <c r="C128" s="81">
        <f t="shared" si="12"/>
        <v>0.95345995042893605</v>
      </c>
      <c r="D128" s="1">
        <v>2.8774352165069002</v>
      </c>
      <c r="E128" s="82">
        <f t="shared" si="11"/>
        <v>3.0178878674583229</v>
      </c>
      <c r="F128" s="81">
        <f t="shared" si="10"/>
        <v>200.24124441013439</v>
      </c>
    </row>
    <row r="129" spans="1:6" x14ac:dyDescent="0.25">
      <c r="A129">
        <v>145</v>
      </c>
      <c r="B129" s="2">
        <v>96.245186958920812</v>
      </c>
      <c r="C129" s="81">
        <f t="shared" si="12"/>
        <v>0.9519347511506453</v>
      </c>
      <c r="D129" s="1">
        <v>2.8873153487602883</v>
      </c>
      <c r="E129" s="82">
        <f t="shared" si="11"/>
        <v>3.0331021588089557</v>
      </c>
      <c r="F129" s="81">
        <f t="shared" si="10"/>
        <v>203.12855975889468</v>
      </c>
    </row>
    <row r="130" spans="1:6" x14ac:dyDescent="0.25">
      <c r="A130">
        <v>146</v>
      </c>
      <c r="B130" s="2">
        <v>97.197121710071457</v>
      </c>
      <c r="C130" s="81">
        <f t="shared" si="12"/>
        <v>0.95033192788029908</v>
      </c>
      <c r="D130" s="1">
        <v>2.8969718386726182</v>
      </c>
      <c r="E130" s="82">
        <f t="shared" si="11"/>
        <v>3.0483789439067568</v>
      </c>
      <c r="F130" s="81">
        <f t="shared" si="10"/>
        <v>206.02553159756729</v>
      </c>
    </row>
    <row r="131" spans="1:6" x14ac:dyDescent="0.25">
      <c r="A131">
        <v>147</v>
      </c>
      <c r="B131" s="2">
        <v>98.147453637951756</v>
      </c>
      <c r="C131" s="81">
        <f t="shared" si="12"/>
        <v>0.94865313003913343</v>
      </c>
      <c r="D131" s="1">
        <v>2.9064094026399827</v>
      </c>
      <c r="E131" s="82">
        <f t="shared" si="11"/>
        <v>3.0637219344019755</v>
      </c>
      <c r="F131" s="81">
        <f t="shared" si="10"/>
        <v>208.93194100020727</v>
      </c>
    </row>
    <row r="132" spans="1:6" x14ac:dyDescent="0.25">
      <c r="A132">
        <v>148</v>
      </c>
      <c r="B132" s="2">
        <v>99.096106767990889</v>
      </c>
      <c r="C132" s="81">
        <f t="shared" si="12"/>
        <v>0.94689999857051532</v>
      </c>
      <c r="D132" s="1">
        <v>2.9156327128423007</v>
      </c>
      <c r="E132" s="82">
        <f t="shared" si="11"/>
        <v>3.0791347737288803</v>
      </c>
      <c r="F132" s="81">
        <f t="shared" ref="F132:F183" si="13">F131+D132</f>
        <v>211.84757371304957</v>
      </c>
    </row>
    <row r="133" spans="1:6" x14ac:dyDescent="0.25">
      <c r="A133">
        <v>149</v>
      </c>
      <c r="B133" s="2">
        <v>100.0430067665614</v>
      </c>
      <c r="C133" s="81">
        <f t="shared" si="12"/>
        <v>0.9450741652812269</v>
      </c>
      <c r="D133" s="1">
        <v>2.9246463934732643</v>
      </c>
      <c r="E133" s="82">
        <f t="shared" si="11"/>
        <v>3.0946210370727609</v>
      </c>
      <c r="F133" s="81">
        <f t="shared" si="13"/>
        <v>214.77222010652284</v>
      </c>
    </row>
    <row r="134" spans="1:6" x14ac:dyDescent="0.25">
      <c r="A134">
        <v>150</v>
      </c>
      <c r="B134" s="2">
        <v>100.98808093184263</v>
      </c>
      <c r="C134" s="81">
        <f t="shared" si="12"/>
        <v>0.94317725220936666</v>
      </c>
      <c r="D134" s="1">
        <v>2.933455017295227</v>
      </c>
      <c r="E134" s="82">
        <f t="shared" si="11"/>
        <v>3.110184231461997</v>
      </c>
      <c r="F134" s="81">
        <f t="shared" si="13"/>
        <v>217.70567512381805</v>
      </c>
    </row>
    <row r="135" spans="1:6" x14ac:dyDescent="0.25">
      <c r="A135">
        <v>151</v>
      </c>
      <c r="B135" s="2">
        <v>101.931258184052</v>
      </c>
      <c r="C135" s="81">
        <f t="shared" si="12"/>
        <v>0.94121087101905232</v>
      </c>
      <c r="D135" s="1">
        <v>2.9420631025057329</v>
      </c>
      <c r="E135" s="82">
        <f t="shared" si="11"/>
        <v>3.1258277959755723</v>
      </c>
      <c r="F135" s="81">
        <f t="shared" si="13"/>
        <v>220.64773822632378</v>
      </c>
    </row>
    <row r="136" spans="1:6" x14ac:dyDescent="0.25">
      <c r="A136">
        <v>152</v>
      </c>
      <c r="B136" s="2">
        <v>102.87246905507105</v>
      </c>
      <c r="C136" s="81">
        <f t="shared" si="12"/>
        <v>0.93917662242220956</v>
      </c>
      <c r="D136" s="1">
        <v>2.9504751099023467</v>
      </c>
      <c r="E136" s="82">
        <f t="shared" si="11"/>
        <v>3.1415551020561412</v>
      </c>
      <c r="F136" s="81">
        <f t="shared" si="13"/>
        <v>223.59821333622614</v>
      </c>
    </row>
    <row r="137" spans="1:6" x14ac:dyDescent="0.25">
      <c r="A137">
        <v>153</v>
      </c>
      <c r="B137" s="2">
        <v>103.81164567749326</v>
      </c>
      <c r="C137" s="81">
        <f t="shared" si="12"/>
        <v>0.93707609562579819</v>
      </c>
      <c r="D137" s="1">
        <v>2.9586954403324857</v>
      </c>
      <c r="E137" s="82">
        <f t="shared" si="11"/>
        <v>3.1573694539253077</v>
      </c>
      <c r="F137" s="81">
        <f t="shared" si="13"/>
        <v>226.55690877655863</v>
      </c>
    </row>
    <row r="138" spans="1:6" x14ac:dyDescent="0.25">
      <c r="A138">
        <v>154</v>
      </c>
      <c r="B138" s="2">
        <v>104.74872177311906</v>
      </c>
      <c r="C138" s="81">
        <f t="shared" si="12"/>
        <v>0.93491086780528576</v>
      </c>
      <c r="D138" s="1">
        <v>2.9667284324150121</v>
      </c>
      <c r="E138" s="82">
        <f t="shared" ref="E138:E183" si="14">D138/C138</f>
        <v>3.1732740890898423</v>
      </c>
      <c r="F138" s="81">
        <f t="shared" si="13"/>
        <v>229.52363720897364</v>
      </c>
    </row>
    <row r="139" spans="1:6" x14ac:dyDescent="0.25">
      <c r="A139">
        <v>155</v>
      </c>
      <c r="B139" s="2">
        <v>105.68363264092434</v>
      </c>
      <c r="C139" s="81">
        <f t="shared" si="12"/>
        <v>0.9326825036031039</v>
      </c>
      <c r="D139" s="1">
        <v>2.9745783605204448</v>
      </c>
      <c r="E139" s="82">
        <f t="shared" si="14"/>
        <v>3.1892721789345955</v>
      </c>
      <c r="F139" s="81">
        <f t="shared" si="13"/>
        <v>232.49821556949408</v>
      </c>
    </row>
    <row r="140" spans="1:6" x14ac:dyDescent="0.25">
      <c r="A140">
        <v>156</v>
      </c>
      <c r="B140" s="2">
        <v>106.61631514452745</v>
      </c>
      <c r="C140" s="81">
        <f t="shared" si="12"/>
        <v>0.93039255465244253</v>
      </c>
      <c r="D140" s="1">
        <v>2.9822494329968512</v>
      </c>
      <c r="E140" s="82">
        <f t="shared" si="14"/>
        <v>3.2053668293926756</v>
      </c>
      <c r="F140" s="81">
        <f t="shared" si="13"/>
        <v>235.48046500249092</v>
      </c>
    </row>
    <row r="141" spans="1:6" x14ac:dyDescent="0.25">
      <c r="A141">
        <v>157</v>
      </c>
      <c r="B141" s="2">
        <v>107.54670769917989</v>
      </c>
      <c r="C141" s="81">
        <f t="shared" si="12"/>
        <v>0.92804255912510314</v>
      </c>
      <c r="D141" s="1">
        <v>2.9897457906286382</v>
      </c>
      <c r="E141" s="82">
        <f t="shared" si="14"/>
        <v>3.2215610816891544</v>
      </c>
      <c r="F141" s="81">
        <f t="shared" si="13"/>
        <v>238.47021079311955</v>
      </c>
    </row>
    <row r="142" spans="1:6" x14ac:dyDescent="0.25">
      <c r="A142">
        <v>158</v>
      </c>
      <c r="B142" s="2">
        <v>108.47475025830499</v>
      </c>
      <c r="C142" s="81">
        <f t="shared" si="12"/>
        <v>0.92563404130339677</v>
      </c>
      <c r="D142" s="1">
        <v>2.99707150531572</v>
      </c>
      <c r="E142" s="82">
        <f t="shared" si="14"/>
        <v>3.2378579131505432</v>
      </c>
      <c r="F142" s="81">
        <f t="shared" si="13"/>
        <v>241.46728229843526</v>
      </c>
    </row>
    <row r="143" spans="1:6" x14ac:dyDescent="0.25">
      <c r="A143">
        <v>159</v>
      </c>
      <c r="B143" s="2">
        <v>109.40038429960839</v>
      </c>
      <c r="C143" s="81">
        <f t="shared" si="12"/>
        <v>0.92316851117598731</v>
      </c>
      <c r="D143" s="1">
        <v>3.0042305789608075</v>
      </c>
      <c r="E143" s="82">
        <f t="shared" si="14"/>
        <v>3.2542602380727206</v>
      </c>
      <c r="F143" s="81">
        <f t="shared" si="13"/>
        <v>244.47151287739607</v>
      </c>
    </row>
    <row r="144" spans="1:6" x14ac:dyDescent="0.25">
      <c r="A144">
        <v>160</v>
      </c>
      <c r="B144" s="2">
        <v>110.32355281078438</v>
      </c>
      <c r="C144" s="81">
        <f t="shared" si="12"/>
        <v>0.92064746405662845</v>
      </c>
      <c r="D144" s="1">
        <v>3.0112269425528093</v>
      </c>
      <c r="E144" s="82">
        <f t="shared" si="14"/>
        <v>3.2707709086434749</v>
      </c>
      <c r="F144" s="81">
        <f t="shared" si="13"/>
        <v>247.48273981994888</v>
      </c>
    </row>
    <row r="145" spans="1:6" x14ac:dyDescent="0.25">
      <c r="A145">
        <v>161</v>
      </c>
      <c r="B145" s="2">
        <v>111.24420027484101</v>
      </c>
      <c r="C145" s="81">
        <f t="shared" si="12"/>
        <v>0.9180723802249986</v>
      </c>
      <c r="D145" s="1">
        <v>3.0180644554347249</v>
      </c>
      <c r="E145" s="82">
        <f t="shared" si="14"/>
        <v>3.2873927159153467</v>
      </c>
      <c r="F145" s="81">
        <f t="shared" si="13"/>
        <v>250.50080427538359</v>
      </c>
    </row>
    <row r="146" spans="1:6" x14ac:dyDescent="0.25">
      <c r="A146">
        <v>162</v>
      </c>
      <c r="B146" s="2">
        <v>112.162272655066</v>
      </c>
      <c r="C146" s="81">
        <f t="shared" si="12"/>
        <v>0.91544472459085569</v>
      </c>
      <c r="D146" s="1">
        <v>3.0247469047446622</v>
      </c>
      <c r="E146" s="82">
        <f t="shared" si="14"/>
        <v>3.3041283908174002</v>
      </c>
      <c r="F146" s="81">
        <f t="shared" si="13"/>
        <v>253.52555118012825</v>
      </c>
    </row>
    <row r="147" spans="1:6" x14ac:dyDescent="0.25">
      <c r="A147">
        <v>163</v>
      </c>
      <c r="B147" s="2">
        <v>113.07771737965686</v>
      </c>
      <c r="C147" s="81">
        <f t="shared" si="12"/>
        <v>0.9127659463783715</v>
      </c>
      <c r="D147" s="1">
        <v>3.0312780050190073</v>
      </c>
      <c r="E147" s="82">
        <f t="shared" si="14"/>
        <v>3.3209806052103121</v>
      </c>
      <c r="F147" s="81">
        <f t="shared" si="13"/>
        <v>256.55682918514725</v>
      </c>
    </row>
    <row r="148" spans="1:6" x14ac:dyDescent="0.25">
      <c r="A148">
        <v>164</v>
      </c>
      <c r="B148" s="2">
        <v>113.99048332603523</v>
      </c>
      <c r="C148" s="81">
        <f t="shared" si="12"/>
        <v>0.91003747883284802</v>
      </c>
      <c r="D148" s="1">
        <v>3.0376613979471134</v>
      </c>
      <c r="E148" s="82">
        <f t="shared" si="14"/>
        <v>3.3379519729703997</v>
      </c>
      <c r="F148" s="81">
        <f t="shared" si="13"/>
        <v>259.59449058309434</v>
      </c>
    </row>
    <row r="149" spans="1:6" x14ac:dyDescent="0.25">
      <c r="A149">
        <v>165</v>
      </c>
      <c r="B149" s="2">
        <v>114.90052080486808</v>
      </c>
      <c r="C149" s="81">
        <f t="shared" si="12"/>
        <v>0.90726073894731485</v>
      </c>
      <c r="D149" s="1">
        <v>3.0439006522672551</v>
      </c>
      <c r="E149" s="82">
        <f t="shared" si="14"/>
        <v>3.3550450511052219</v>
      </c>
      <c r="F149" s="81">
        <f t="shared" si="13"/>
        <v>262.63839123536161</v>
      </c>
    </row>
    <row r="150" spans="1:6" x14ac:dyDescent="0.25">
      <c r="A150">
        <v>166</v>
      </c>
      <c r="B150" s="2">
        <v>115.80778154381539</v>
      </c>
      <c r="C150" s="81">
        <f t="shared" si="12"/>
        <v>0.90443712720944802</v>
      </c>
      <c r="D150" s="1">
        <v>3.0499992637939668</v>
      </c>
      <c r="E150" s="82">
        <f t="shared" si="14"/>
        <v>3.3722623408931036</v>
      </c>
      <c r="F150" s="81">
        <f t="shared" si="13"/>
        <v>265.68839049915556</v>
      </c>
    </row>
    <row r="151" spans="1:6" x14ac:dyDescent="0.25">
      <c r="A151">
        <v>167</v>
      </c>
      <c r="B151" s="2">
        <v>116.71221867102484</v>
      </c>
      <c r="C151" s="81">
        <f t="shared" si="12"/>
        <v>0.90156802736827046</v>
      </c>
      <c r="D151" s="1">
        <v>3.0559606555672514</v>
      </c>
      <c r="E151" s="82">
        <f t="shared" si="14"/>
        <v>3.3896062890426344</v>
      </c>
      <c r="F151" s="81">
        <f t="shared" si="13"/>
        <v>268.74435115472284</v>
      </c>
    </row>
    <row r="152" spans="1:6" x14ac:dyDescent="0.25">
      <c r="A152">
        <v>168</v>
      </c>
      <c r="B152" s="2">
        <v>117.61378669839311</v>
      </c>
      <c r="C152" s="81">
        <f t="shared" si="12"/>
        <v>0.89865480621958227</v>
      </c>
      <c r="D152" s="1">
        <v>3.0617881781145639</v>
      </c>
      <c r="E152" s="82">
        <f t="shared" si="14"/>
        <v>3.4070792888703805</v>
      </c>
      <c r="F152" s="81">
        <f t="shared" si="13"/>
        <v>271.8061393328374</v>
      </c>
    </row>
    <row r="153" spans="1:6" x14ac:dyDescent="0.25">
      <c r="A153">
        <v>169</v>
      </c>
      <c r="B153" s="2">
        <v>118.5124415046127</v>
      </c>
      <c r="C153" s="81">
        <f t="shared" si="12"/>
        <v>0.89569881341043356</v>
      </c>
      <c r="D153" s="1">
        <v>3.0674851098168223</v>
      </c>
      <c r="E153" s="82">
        <f t="shared" si="14"/>
        <v>3.4246836814901722</v>
      </c>
      <c r="F153" s="81">
        <f t="shared" si="13"/>
        <v>274.8736244426542</v>
      </c>
    </row>
    <row r="154" spans="1:6" x14ac:dyDescent="0.25">
      <c r="A154">
        <v>170</v>
      </c>
      <c r="B154" s="2">
        <v>119.40814031802313</v>
      </c>
      <c r="C154" s="81">
        <f t="shared" si="12"/>
        <v>0.89270138126127563</v>
      </c>
      <c r="D154" s="1">
        <v>3.0730546573701085</v>
      </c>
      <c r="E154" s="82">
        <f t="shared" si="14"/>
        <v>3.4424217570138245</v>
      </c>
      <c r="F154" s="81">
        <f t="shared" si="13"/>
        <v>277.94667910002431</v>
      </c>
    </row>
    <row r="155" spans="1:6" x14ac:dyDescent="0.25">
      <c r="A155">
        <v>171</v>
      </c>
      <c r="B155" s="2">
        <v>120.3008416992844</v>
      </c>
      <c r="C155" s="81">
        <f t="shared" si="12"/>
        <v>0.8896638246057762</v>
      </c>
      <c r="D155" s="1">
        <v>3.0784999563350839</v>
      </c>
      <c r="E155" s="82">
        <f t="shared" si="14"/>
        <v>3.4602957557583225</v>
      </c>
      <c r="F155" s="81">
        <f t="shared" si="13"/>
        <v>281.02517905635938</v>
      </c>
    </row>
    <row r="156" spans="1:6" x14ac:dyDescent="0.25">
      <c r="A156">
        <v>172</v>
      </c>
      <c r="B156" s="2">
        <v>121.19050552389018</v>
      </c>
      <c r="C156" s="81">
        <f t="shared" si="12"/>
        <v>0.88658744064781558</v>
      </c>
      <c r="D156" s="1">
        <v>3.0838240717665473</v>
      </c>
      <c r="E156" s="82">
        <f t="shared" si="14"/>
        <v>3.4783078694564464</v>
      </c>
      <c r="F156" s="81">
        <f t="shared" si="13"/>
        <v>284.10900312812595</v>
      </c>
    </row>
    <row r="157" spans="1:6" x14ac:dyDescent="0.25">
      <c r="A157">
        <v>173</v>
      </c>
      <c r="B157" s="2">
        <v>122.077092964538</v>
      </c>
      <c r="C157" s="81">
        <f t="shared" si="12"/>
        <v>0.88347350883496745</v>
      </c>
      <c r="D157" s="1">
        <v>3.0890299989159047</v>
      </c>
      <c r="E157" s="82">
        <f t="shared" si="14"/>
        <v>3.4964602424688374</v>
      </c>
      <c r="F157" s="81">
        <f t="shared" si="13"/>
        <v>287.19803312704187</v>
      </c>
    </row>
    <row r="158" spans="1:6" x14ac:dyDescent="0.25">
      <c r="A158">
        <v>174</v>
      </c>
      <c r="B158" s="2">
        <v>122.96056647337296</v>
      </c>
      <c r="C158" s="81">
        <f t="shared" si="12"/>
        <v>0.88032329074783888</v>
      </c>
      <c r="D158" s="1">
        <v>3.0941206639997136</v>
      </c>
      <c r="E158" s="82">
        <f t="shared" si="14"/>
        <v>3.5147549729954815</v>
      </c>
      <c r="F158" s="81">
        <f t="shared" si="13"/>
        <v>290.29215379104159</v>
      </c>
    </row>
    <row r="159" spans="1:6" x14ac:dyDescent="0.25">
      <c r="A159">
        <v>175</v>
      </c>
      <c r="B159" s="2">
        <v>123.8408897641208</v>
      </c>
      <c r="C159" s="81">
        <f t="shared" si="12"/>
        <v>0.877138030005014</v>
      </c>
      <c r="D159" s="1">
        <v>3.0990989250277989</v>
      </c>
      <c r="E159" s="82">
        <f t="shared" si="14"/>
        <v>3.5331941142833396</v>
      </c>
      <c r="F159" s="81">
        <f t="shared" si="13"/>
        <v>293.3912527160694</v>
      </c>
    </row>
    <row r="160" spans="1:6" x14ac:dyDescent="0.25">
      <c r="A160">
        <v>176</v>
      </c>
      <c r="B160" s="2">
        <v>124.71802779412582</v>
      </c>
      <c r="C160" s="81">
        <f t="shared" si="12"/>
        <v>0.87391895218323157</v>
      </c>
      <c r="D160" s="1">
        <v>3.1039675726848182</v>
      </c>
      <c r="E160" s="82">
        <f t="shared" si="14"/>
        <v>3.5517796758274445</v>
      </c>
      <c r="F160" s="81">
        <f t="shared" si="13"/>
        <v>296.49522028875424</v>
      </c>
    </row>
    <row r="161" spans="1:6" x14ac:dyDescent="0.25">
      <c r="A161">
        <v>177</v>
      </c>
      <c r="B161" s="2">
        <v>125.59194674630905</v>
      </c>
      <c r="C161" s="81">
        <f t="shared" si="12"/>
        <v>0.87066726475180189</v>
      </c>
      <c r="D161" s="1">
        <v>3.1087293312594619</v>
      </c>
      <c r="E161" s="82">
        <f t="shared" si="14"/>
        <v>3.5705136245654723</v>
      </c>
      <c r="F161" s="81">
        <f t="shared" si="13"/>
        <v>299.60394962001368</v>
      </c>
    </row>
    <row r="162" spans="1:6" x14ac:dyDescent="0.25">
      <c r="A162">
        <v>178</v>
      </c>
      <c r="B162" s="2">
        <v>126.46261401106085</v>
      </c>
      <c r="C162" s="81">
        <f t="shared" si="12"/>
        <v>0.86738415702114935</v>
      </c>
      <c r="D162" s="1">
        <v>3.1133868596158321</v>
      </c>
      <c r="E162" s="82">
        <f t="shared" si="14"/>
        <v>3.5893978860625175</v>
      </c>
      <c r="F162" s="81">
        <f t="shared" si="13"/>
        <v>302.71733647962952</v>
      </c>
    </row>
    <row r="163" spans="1:6" x14ac:dyDescent="0.25">
      <c r="A163">
        <v>179</v>
      </c>
      <c r="B163" s="2">
        <v>127.329998168082</v>
      </c>
      <c r="C163" s="81">
        <f t="shared" si="12"/>
        <v>0.86407080010502568</v>
      </c>
      <c r="D163" s="1">
        <v>3.1179427522018486</v>
      </c>
      <c r="E163" s="82">
        <f t="shared" si="14"/>
        <v>3.6084343456842545</v>
      </c>
      <c r="F163" s="81">
        <f t="shared" si="13"/>
        <v>305.83527923183135</v>
      </c>
    </row>
    <row r="164" spans="1:6" x14ac:dyDescent="0.25">
      <c r="A164">
        <v>180</v>
      </c>
      <c r="B164" s="2">
        <v>128.19406896818703</v>
      </c>
      <c r="C164" s="81">
        <f t="shared" si="12"/>
        <v>0.86072834689542788</v>
      </c>
      <c r="D164" s="1">
        <v>3.122399540089861</v>
      </c>
      <c r="E164" s="82">
        <f t="shared" si="14"/>
        <v>3.6276248497590258</v>
      </c>
      <c r="F164" s="81">
        <f t="shared" si="13"/>
        <v>308.95767877192122</v>
      </c>
    </row>
    <row r="165" spans="1:6" x14ac:dyDescent="0.25">
      <c r="A165">
        <v>181</v>
      </c>
      <c r="B165" s="2">
        <v>129.05479731508245</v>
      </c>
      <c r="C165" s="81">
        <f t="shared" si="12"/>
        <v>0.85735793205071786</v>
      </c>
      <c r="D165" s="1">
        <v>3.1267596920449239</v>
      </c>
      <c r="E165" s="82">
        <f t="shared" si="14"/>
        <v>3.6469712067234448</v>
      </c>
      <c r="F165" s="81">
        <f t="shared" si="13"/>
        <v>312.08443846396614</v>
      </c>
    </row>
    <row r="166" spans="1:6" x14ac:dyDescent="0.25">
      <c r="A166">
        <v>182</v>
      </c>
      <c r="B166" s="2">
        <v>129.91215524713317</v>
      </c>
      <c r="C166" s="81">
        <f t="shared" si="12"/>
        <v>0.85396067199536674</v>
      </c>
      <c r="D166" s="1">
        <v>3.1310256156164979</v>
      </c>
      <c r="E166" s="82">
        <f t="shared" si="14"/>
        <v>3.6664751882549056</v>
      </c>
      <c r="F166" s="81">
        <f t="shared" si="13"/>
        <v>315.21546407958266</v>
      </c>
    </row>
    <row r="167" spans="1:6" x14ac:dyDescent="0.25">
      <c r="A167">
        <v>183</v>
      </c>
      <c r="B167" s="2">
        <v>130.76611591912854</v>
      </c>
      <c r="C167" s="81">
        <f t="shared" si="12"/>
        <v>0.8505376649311529</v>
      </c>
      <c r="D167" s="1">
        <v>3.1351996582496184</v>
      </c>
      <c r="E167" s="82">
        <f t="shared" si="14"/>
        <v>3.6861385303887726</v>
      </c>
      <c r="F167" s="81">
        <f t="shared" si="13"/>
        <v>318.35066373783229</v>
      </c>
    </row>
    <row r="168" spans="1:6" x14ac:dyDescent="0.25">
      <c r="A168">
        <v>184</v>
      </c>
      <c r="B168" s="2">
        <v>131.61665358405969</v>
      </c>
      <c r="C168" s="81">
        <f t="shared" si="12"/>
        <v>0.84708999086046788</v>
      </c>
      <c r="D168" s="1">
        <v>3.1392841084118324</v>
      </c>
      <c r="E168" s="82">
        <f t="shared" si="14"/>
        <v>3.7059629346145035</v>
      </c>
      <c r="F168" s="81">
        <f t="shared" si="13"/>
        <v>321.48994784624415</v>
      </c>
    </row>
    <row r="169" spans="1:6" x14ac:dyDescent="0.25">
      <c r="A169">
        <v>185</v>
      </c>
      <c r="B169" s="2">
        <v>132.46374357492016</v>
      </c>
      <c r="C169" s="81">
        <f t="shared" si="12"/>
        <v>0.84361871161962654</v>
      </c>
      <c r="D169" s="1">
        <v>3.143281196732465</v>
      </c>
      <c r="E169" s="82">
        <f t="shared" si="14"/>
        <v>3.7259500689568839</v>
      </c>
      <c r="F169" s="81">
        <f t="shared" si="13"/>
        <v>324.63322904297661</v>
      </c>
    </row>
    <row r="170" spans="1:6" x14ac:dyDescent="0.25">
      <c r="A170">
        <v>186</v>
      </c>
      <c r="B170" s="2">
        <v>133.30736228653979</v>
      </c>
      <c r="C170" s="81">
        <f t="shared" si="12"/>
        <v>0.84012487092229549</v>
      </c>
      <c r="D170" s="1">
        <v>3.147193097151022</v>
      </c>
      <c r="E170" s="82">
        <f t="shared" si="14"/>
        <v>3.7461015690393853</v>
      </c>
      <c r="F170" s="81">
        <f t="shared" si="13"/>
        <v>327.78042214012765</v>
      </c>
    </row>
    <row r="171" spans="1:6" x14ac:dyDescent="0.25">
      <c r="A171">
        <v>187</v>
      </c>
      <c r="B171" s="2">
        <v>134.14748715746208</v>
      </c>
      <c r="C171" s="81">
        <f t="shared" si="12"/>
        <v>0.83660949441392063</v>
      </c>
      <c r="D171" s="1">
        <v>3.1510219280717822</v>
      </c>
      <c r="E171" s="82">
        <f t="shared" si="14"/>
        <v>3.7664190391231487</v>
      </c>
      <c r="F171" s="81">
        <f t="shared" si="13"/>
        <v>330.93144406819943</v>
      </c>
    </row>
    <row r="172" spans="1:6" x14ac:dyDescent="0.25">
      <c r="A172">
        <v>188</v>
      </c>
      <c r="B172" s="2">
        <v>134.984096651876</v>
      </c>
      <c r="C172" s="81">
        <f t="shared" si="12"/>
        <v>0.83307358973416967</v>
      </c>
      <c r="D172" s="1">
        <v>3.1547697535218138</v>
      </c>
      <c r="E172" s="82">
        <f t="shared" si="14"/>
        <v>3.7869040531323144</v>
      </c>
      <c r="F172" s="81">
        <f t="shared" si="13"/>
        <v>334.08621382172123</v>
      </c>
    </row>
    <row r="173" spans="1:6" x14ac:dyDescent="0.25">
      <c r="A173">
        <v>189</v>
      </c>
      <c r="B173" s="2">
        <v>135.81717024161017</v>
      </c>
      <c r="C173" s="81">
        <f t="shared" ref="C173:C183" si="15">B174-B173</f>
        <v>0.82951814658974854</v>
      </c>
      <c r="D173" s="1">
        <v>3.1584385843099336</v>
      </c>
      <c r="E173" s="82">
        <f t="shared" si="14"/>
        <v>3.8075581556529707</v>
      </c>
      <c r="F173" s="81">
        <f t="shared" si="13"/>
        <v>337.24465240603115</v>
      </c>
    </row>
    <row r="174" spans="1:6" x14ac:dyDescent="0.25">
      <c r="A174">
        <v>190</v>
      </c>
      <c r="B174" s="2">
        <v>136.64668838819992</v>
      </c>
      <c r="C174" s="81">
        <f t="shared" si="15"/>
        <v>0.82594413683489165</v>
      </c>
      <c r="D174" s="1">
        <v>3.1620303791842446</v>
      </c>
      <c r="E174" s="82">
        <f t="shared" si="14"/>
        <v>3.8283828629155128</v>
      </c>
      <c r="F174" s="81">
        <f t="shared" si="13"/>
        <v>340.40668278521537</v>
      </c>
    </row>
    <row r="175" spans="1:6" x14ac:dyDescent="0.25">
      <c r="A175">
        <v>191</v>
      </c>
      <c r="B175" s="2">
        <v>137.47263252503481</v>
      </c>
      <c r="C175" s="81">
        <f t="shared" si="15"/>
        <v>0.82235251456054925</v>
      </c>
      <c r="D175" s="1">
        <v>3.165547045986159</v>
      </c>
      <c r="E175" s="82">
        <f t="shared" si="14"/>
        <v>3.8493796637537758</v>
      </c>
      <c r="F175" s="81">
        <f t="shared" si="13"/>
        <v>343.57222983120153</v>
      </c>
    </row>
    <row r="176" spans="1:6" x14ac:dyDescent="0.25">
      <c r="A176">
        <v>192</v>
      </c>
      <c r="B176" s="2">
        <v>138.29498503959536</v>
      </c>
      <c r="C176" s="81">
        <f t="shared" si="15"/>
        <v>0.81874421619147597</v>
      </c>
      <c r="D176" s="1">
        <v>3.1689904427989277</v>
      </c>
      <c r="E176" s="82">
        <f t="shared" si="14"/>
        <v>3.8705500205424479</v>
      </c>
      <c r="F176" s="81">
        <f t="shared" si="13"/>
        <v>346.74122027400045</v>
      </c>
    </row>
    <row r="177" spans="1:6" x14ac:dyDescent="0.25">
      <c r="A177">
        <v>193</v>
      </c>
      <c r="B177" s="2">
        <v>139.11372925578684</v>
      </c>
      <c r="C177" s="81">
        <f t="shared" si="15"/>
        <v>0.81512016059025427</v>
      </c>
      <c r="D177" s="1">
        <v>3.1723623790889244</v>
      </c>
      <c r="E177" s="82">
        <f t="shared" si="14"/>
        <v>3.8918953701153907</v>
      </c>
      <c r="F177" s="81">
        <f t="shared" si="13"/>
        <v>349.91358265308941</v>
      </c>
    </row>
    <row r="178" spans="1:6" x14ac:dyDescent="0.25">
      <c r="A178">
        <v>194</v>
      </c>
      <c r="B178" s="2">
        <v>139.92884941637709</v>
      </c>
      <c r="C178" s="81">
        <f t="shared" si="15"/>
        <v>0.81148124916938968</v>
      </c>
      <c r="D178" s="1">
        <v>3.1756646168380493</v>
      </c>
      <c r="E178" s="82">
        <f t="shared" si="14"/>
        <v>3.9134171246576233</v>
      </c>
      <c r="F178" s="81">
        <f t="shared" si="13"/>
        <v>353.08924726992745</v>
      </c>
    </row>
    <row r="179" spans="1:6" x14ac:dyDescent="0.25">
      <c r="A179">
        <v>195</v>
      </c>
      <c r="B179" s="2">
        <v>140.74033066554648</v>
      </c>
      <c r="C179" s="81">
        <f t="shared" si="15"/>
        <v>0.8078283660091472</v>
      </c>
      <c r="D179" s="1">
        <v>3.1788988716657984</v>
      </c>
      <c r="E179" s="82">
        <f t="shared" si="14"/>
        <v>3.9351166725801789</v>
      </c>
      <c r="F179" s="81">
        <f t="shared" si="13"/>
        <v>356.26814614159326</v>
      </c>
    </row>
    <row r="180" spans="1:6" x14ac:dyDescent="0.25">
      <c r="A180">
        <v>196</v>
      </c>
      <c r="B180" s="2">
        <v>141.54815903155563</v>
      </c>
      <c r="C180" s="81">
        <f t="shared" si="15"/>
        <v>0.80416237798200996</v>
      </c>
      <c r="D180" s="1">
        <v>3.1820668139396844</v>
      </c>
      <c r="E180" s="82">
        <f t="shared" si="14"/>
        <v>3.9569953793720885</v>
      </c>
      <c r="F180" s="81">
        <f t="shared" si="13"/>
        <v>359.45021295553295</v>
      </c>
    </row>
    <row r="181" spans="1:6" x14ac:dyDescent="0.25">
      <c r="A181">
        <v>197</v>
      </c>
      <c r="B181" s="2">
        <v>142.35232140953764</v>
      </c>
      <c r="C181" s="81">
        <f t="shared" si="15"/>
        <v>0.80048413488390224</v>
      </c>
      <c r="D181" s="1">
        <v>3.1851700698728078</v>
      </c>
      <c r="E181" s="82">
        <f t="shared" si="14"/>
        <v>3.9790545884269988</v>
      </c>
      <c r="F181" s="81">
        <f t="shared" si="13"/>
        <v>362.63538302540576</v>
      </c>
    </row>
    <row r="182" spans="1:6" x14ac:dyDescent="0.25">
      <c r="A182">
        <v>198</v>
      </c>
      <c r="B182" s="2">
        <v>143.15280554442154</v>
      </c>
      <c r="C182" s="81">
        <f t="shared" si="15"/>
        <v>0.79679446957004529</v>
      </c>
      <c r="D182" s="1">
        <v>3.1882102226075437</v>
      </c>
      <c r="E182" s="82">
        <f t="shared" si="14"/>
        <v>4.0012956218532985</v>
      </c>
      <c r="F182" s="81">
        <f t="shared" si="13"/>
        <v>365.82359324801331</v>
      </c>
    </row>
    <row r="183" spans="1:6" x14ac:dyDescent="0.25">
      <c r="A183">
        <v>199</v>
      </c>
      <c r="B183" s="2">
        <v>143.94960001399159</v>
      </c>
      <c r="C183" s="81">
        <f t="shared" si="15"/>
        <v>0.79309419809669635</v>
      </c>
      <c r="D183" s="1">
        <v>3.1911888132843833</v>
      </c>
      <c r="E183" s="82">
        <f t="shared" si="14"/>
        <v>4.0237197812602137</v>
      </c>
      <c r="F183" s="81">
        <f t="shared" si="13"/>
        <v>369.01478206129769</v>
      </c>
    </row>
    <row r="184" spans="1:6" x14ac:dyDescent="0.25">
      <c r="A184">
        <v>200</v>
      </c>
      <c r="B184" s="2">
        <v>144.74269421208828</v>
      </c>
      <c r="C184" s="81"/>
      <c r="F184" s="81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891B6-A555-4806-9FE7-00C9D9416564}">
  <sheetPr codeName="Sheet22"/>
  <dimension ref="A1:AO33"/>
  <sheetViews>
    <sheetView topLeftCell="T1" zoomScale="70" zoomScaleNormal="70" workbookViewId="0">
      <selection activeCell="AE1" sqref="AE1:AO1048576"/>
    </sheetView>
  </sheetViews>
  <sheetFormatPr defaultColWidth="8.85546875" defaultRowHeight="15" x14ac:dyDescent="0.25"/>
  <cols>
    <col min="1" max="1" width="0" hidden="1" customWidth="1"/>
    <col min="2" max="2" width="4.28515625" hidden="1" customWidth="1"/>
    <col min="3" max="3" width="8.85546875" bestFit="1" customWidth="1"/>
    <col min="4" max="4" width="11.7109375" customWidth="1"/>
    <col min="5" max="5" width="11.7109375" hidden="1" customWidth="1"/>
    <col min="6" max="6" width="11.7109375" customWidth="1"/>
    <col min="7" max="8" width="14.28515625" customWidth="1"/>
    <col min="9" max="9" width="16.7109375" customWidth="1"/>
    <col min="10" max="10" width="23.28515625" customWidth="1"/>
    <col min="11" max="11" width="15.140625" customWidth="1"/>
    <col min="12" max="12" width="17.42578125" customWidth="1"/>
    <col min="13" max="13" width="21.7109375" customWidth="1"/>
    <col min="14" max="14" width="4.85546875" style="158" customWidth="1"/>
    <col min="15" max="15" width="8.85546875" hidden="1" customWidth="1"/>
    <col min="16" max="16" width="4.28515625" hidden="1" customWidth="1"/>
    <col min="17" max="17" width="9.140625" customWidth="1"/>
    <col min="18" max="18" width="17.140625" customWidth="1"/>
    <col min="19" max="19" width="17.140625" hidden="1" customWidth="1"/>
    <col min="20" max="21" width="17.140625" customWidth="1"/>
    <col min="22" max="22" width="13.28515625" customWidth="1"/>
    <col min="23" max="23" width="17.140625" customWidth="1"/>
    <col min="24" max="24" width="19.85546875" customWidth="1"/>
    <col min="25" max="25" width="17.140625" customWidth="1"/>
    <col min="26" max="26" width="19.140625" customWidth="1"/>
    <col min="27" max="27" width="19.7109375" customWidth="1"/>
    <col min="28" max="28" width="4.42578125" style="158" customWidth="1"/>
    <col min="29" max="30" width="0" hidden="1" customWidth="1"/>
    <col min="31" max="31" width="8.85546875" bestFit="1" customWidth="1"/>
    <col min="32" max="32" width="18.7109375" customWidth="1"/>
    <col min="33" max="33" width="18.7109375" hidden="1" customWidth="1"/>
    <col min="34" max="35" width="18.7109375" customWidth="1"/>
    <col min="36" max="36" width="13.28515625" customWidth="1"/>
    <col min="37" max="37" width="18.7109375" customWidth="1"/>
    <col min="38" max="38" width="21.28515625" customWidth="1"/>
    <col min="39" max="40" width="18.7109375" customWidth="1"/>
    <col min="41" max="41" width="20.42578125" customWidth="1"/>
  </cols>
  <sheetData>
    <row r="1" spans="1:41" ht="15.75" thickBot="1" x14ac:dyDescent="0.3"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2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2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</row>
    <row r="2" spans="1:41" ht="16.5" thickBot="1" x14ac:dyDescent="0.3">
      <c r="C2" s="248" t="s">
        <v>22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72"/>
      <c r="Q2" s="248" t="s">
        <v>13</v>
      </c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172"/>
      <c r="AE2" s="248" t="s">
        <v>14</v>
      </c>
      <c r="AF2" s="248"/>
      <c r="AG2" s="248"/>
      <c r="AH2" s="248"/>
      <c r="AI2" s="248"/>
      <c r="AJ2" s="248"/>
      <c r="AK2" s="248"/>
      <c r="AL2" s="248"/>
      <c r="AM2" s="248"/>
      <c r="AN2" s="248"/>
      <c r="AO2" s="248"/>
    </row>
    <row r="3" spans="1:41" ht="14.45" customHeight="1" x14ac:dyDescent="0.25">
      <c r="B3" s="245" t="s">
        <v>0</v>
      </c>
      <c r="C3" s="246" t="s">
        <v>55</v>
      </c>
      <c r="D3" s="246" t="s">
        <v>56</v>
      </c>
      <c r="E3" s="246" t="s">
        <v>62</v>
      </c>
      <c r="F3" s="246" t="s">
        <v>62</v>
      </c>
      <c r="G3" s="242" t="s">
        <v>61</v>
      </c>
      <c r="H3" s="244" t="s">
        <v>63</v>
      </c>
      <c r="I3" s="242" t="s">
        <v>64</v>
      </c>
      <c r="J3" s="242" t="s">
        <v>57</v>
      </c>
      <c r="K3" s="242" t="s">
        <v>65</v>
      </c>
      <c r="L3" s="242" t="s">
        <v>66</v>
      </c>
      <c r="M3" s="242" t="s">
        <v>58</v>
      </c>
      <c r="N3" s="173"/>
      <c r="P3" s="245" t="s">
        <v>0</v>
      </c>
      <c r="Q3" s="246" t="s">
        <v>55</v>
      </c>
      <c r="R3" s="246" t="s">
        <v>56</v>
      </c>
      <c r="S3" s="246" t="s">
        <v>62</v>
      </c>
      <c r="T3" s="246" t="s">
        <v>62</v>
      </c>
      <c r="U3" s="242" t="s">
        <v>61</v>
      </c>
      <c r="V3" s="244" t="s">
        <v>63</v>
      </c>
      <c r="W3" s="242" t="s">
        <v>64</v>
      </c>
      <c r="X3" s="242" t="s">
        <v>57</v>
      </c>
      <c r="Y3" s="242" t="s">
        <v>65</v>
      </c>
      <c r="Z3" s="242" t="s">
        <v>66</v>
      </c>
      <c r="AA3" s="242" t="s">
        <v>58</v>
      </c>
      <c r="AB3" s="173"/>
      <c r="AD3" s="245" t="s">
        <v>0</v>
      </c>
      <c r="AE3" s="246" t="s">
        <v>55</v>
      </c>
      <c r="AF3" s="246" t="s">
        <v>56</v>
      </c>
      <c r="AG3" s="246" t="s">
        <v>62</v>
      </c>
      <c r="AH3" s="246" t="s">
        <v>62</v>
      </c>
      <c r="AI3" s="242" t="s">
        <v>61</v>
      </c>
      <c r="AJ3" s="244" t="s">
        <v>63</v>
      </c>
      <c r="AK3" s="242" t="s">
        <v>64</v>
      </c>
      <c r="AL3" s="242" t="s">
        <v>57</v>
      </c>
      <c r="AM3" s="242" t="s">
        <v>65</v>
      </c>
      <c r="AN3" s="242" t="s">
        <v>66</v>
      </c>
      <c r="AO3" s="242" t="s">
        <v>58</v>
      </c>
    </row>
    <row r="4" spans="1:41" ht="15.75" thickBot="1" x14ac:dyDescent="0.3">
      <c r="A4" t="s">
        <v>59</v>
      </c>
      <c r="B4" s="245"/>
      <c r="C4" s="247"/>
      <c r="D4" s="247"/>
      <c r="E4" s="247"/>
      <c r="F4" s="247"/>
      <c r="G4" s="243"/>
      <c r="H4" s="243"/>
      <c r="I4" s="243"/>
      <c r="J4" s="243"/>
      <c r="K4" s="243"/>
      <c r="L4" s="243"/>
      <c r="M4" s="243"/>
      <c r="N4" s="173"/>
      <c r="O4" t="s">
        <v>59</v>
      </c>
      <c r="P4" s="245"/>
      <c r="Q4" s="247"/>
      <c r="R4" s="247"/>
      <c r="S4" s="247"/>
      <c r="T4" s="247"/>
      <c r="U4" s="243"/>
      <c r="V4" s="243"/>
      <c r="W4" s="243"/>
      <c r="X4" s="243"/>
      <c r="Y4" s="243"/>
      <c r="Z4" s="243"/>
      <c r="AA4" s="243"/>
      <c r="AB4" s="173"/>
      <c r="AC4" t="s">
        <v>59</v>
      </c>
      <c r="AD4" s="245"/>
      <c r="AE4" s="247"/>
      <c r="AF4" s="247"/>
      <c r="AG4" s="247"/>
      <c r="AH4" s="247"/>
      <c r="AI4" s="243"/>
      <c r="AJ4" s="243"/>
      <c r="AK4" s="243"/>
      <c r="AL4" s="243"/>
      <c r="AM4" s="243"/>
      <c r="AN4" s="243"/>
      <c r="AO4" s="243"/>
    </row>
    <row r="5" spans="1:41" x14ac:dyDescent="0.25">
      <c r="B5" s="216">
        <f>'Curve-Mixed'!I3</f>
        <v>21</v>
      </c>
      <c r="C5" s="216">
        <f t="shared" ref="C5:C31" si="0">IF(B5&gt;0,B5,"")</f>
        <v>21</v>
      </c>
      <c r="D5" s="216">
        <v>1</v>
      </c>
      <c r="E5" s="28">
        <f>IFERROR(VLOOKUP(C5,'Curve-Mixed'!$G$2:$R$185,12,FALSE),"")</f>
        <v>26.455471462185308</v>
      </c>
      <c r="F5" s="28">
        <f>IFERROR(IF(E6="",E5+(MAX('Кормовой бюджет'!$C$24:$J$24)-E5),E5),"")</f>
        <v>26.455471462185308</v>
      </c>
      <c r="P5" s="216">
        <f>'Curve-Barrows'!I3</f>
        <v>21</v>
      </c>
      <c r="Q5" s="216">
        <f>IF(P5&gt;0,P5,"")</f>
        <v>21</v>
      </c>
      <c r="R5" s="216">
        <v>1</v>
      </c>
      <c r="S5" s="28">
        <f>IFERROR(VLOOKUP(Q5,'Curve-Barrows'!$G$2:$R$185,12,FALSE),"")</f>
        <v>26.259451979622177</v>
      </c>
      <c r="T5" s="28">
        <f>IFERROR(IF(S6="",S5+(MAX('Кормовой бюджет'!$C$38:$J$38)-S5),S5),"")</f>
        <v>26.259451979622177</v>
      </c>
      <c r="AD5" s="216">
        <f>'Curve-Gilts'!I3</f>
        <v>21</v>
      </c>
      <c r="AE5" s="216">
        <f>IF(AD5&gt;0,AD5,"")</f>
        <v>21</v>
      </c>
      <c r="AF5" s="216">
        <v>1</v>
      </c>
      <c r="AG5" s="28">
        <f>IFERROR(VLOOKUP(AE5,'Curve-Gilts'!$G$2:$R$185,12,FALSE),"")</f>
        <v>26.652954175495758</v>
      </c>
      <c r="AH5" s="28">
        <f>IFERROR(IF(AG6="",AG5+(MAX('Кормовой бюджет'!$C$43:$J$43)-AG5),AG5),"")</f>
        <v>26.652954175495758</v>
      </c>
    </row>
    <row r="6" spans="1:41" x14ac:dyDescent="0.25">
      <c r="A6" s="216">
        <f>IFERROR(IF(C6-C5&lt;0,"",C6-C5),"")</f>
        <v>7</v>
      </c>
      <c r="B6" s="216">
        <f>MAX('Curve-Mixed'!G4:G10)</f>
        <v>28</v>
      </c>
      <c r="C6" s="216">
        <f t="shared" si="0"/>
        <v>28</v>
      </c>
      <c r="D6" s="216">
        <f>IF(E6="","",D5+1)</f>
        <v>2</v>
      </c>
      <c r="E6" s="28">
        <f>IFERROR(VLOOKUP(C6,'Curve-Mixed'!$G$2:$R$185,12,FALSE),"")</f>
        <v>30.186967376507443</v>
      </c>
      <c r="F6" s="28">
        <f>IFERROR(IF(E7="",E6+(MAX('Кормовой бюджет'!$C$24:$J$24)-E6),E6),"")</f>
        <v>30.186967376507443</v>
      </c>
      <c r="G6" s="30">
        <f>IF(E6="","",SUM('Curve-Mixed'!Q4:Q10))</f>
        <v>6.393118420106231</v>
      </c>
      <c r="H6" s="30">
        <f>IF(E6="","",G6/A6)</f>
        <v>0.91330263144374724</v>
      </c>
      <c r="I6" s="115">
        <f t="shared" ref="I6:I30" si="1">IF(E6="","",(E6-E5)/(B6-B5))</f>
        <v>0.53307084490316214</v>
      </c>
      <c r="J6" s="115">
        <f>IF(E6="","",((G6/A6)/I6))</f>
        <v>1.7132856545730955</v>
      </c>
      <c r="K6" s="115">
        <f>IF(E6="","",(E6-E5)/(B6-B5))</f>
        <v>0.53307084490316214</v>
      </c>
      <c r="L6" s="30">
        <f>IF(G6="","",SUM($G$5:$G6))</f>
        <v>6.393118420106231</v>
      </c>
      <c r="M6" s="115">
        <f>IF(E6="","",L6/(K6*7*D5))</f>
        <v>1.7132856545730957</v>
      </c>
      <c r="N6" s="174"/>
      <c r="O6" s="216">
        <f>IFERROR(IF(Q6-Q5&lt;0,"",Q6-Q5),"")</f>
        <v>7</v>
      </c>
      <c r="P6" s="216">
        <f>MAX('Curve-Barrows'!G4:G10)</f>
        <v>28</v>
      </c>
      <c r="Q6" s="216">
        <f t="shared" ref="Q6:Q31" si="2">IF(P6&gt;0,P6,"")</f>
        <v>28</v>
      </c>
      <c r="R6" s="216">
        <f>IF(S6="","",R5+1)</f>
        <v>2</v>
      </c>
      <c r="S6" s="28">
        <f>IFERROR(VLOOKUP(Q6,'Curve-Barrows'!$G$2:$R$185,12,FALSE),"")</f>
        <v>29.977072394359841</v>
      </c>
      <c r="T6" s="28">
        <f>IFERROR(IF(S7="",S6+(MAX('Кормовой бюджет'!$C$38:$J$38)-S6),S6),"")</f>
        <v>29.977072394359841</v>
      </c>
      <c r="U6" s="30">
        <f>IF(S6="","",SUM('Curve-Barrows'!Q4:Q10))</f>
        <v>6.3693457257181318</v>
      </c>
      <c r="V6" s="30">
        <f>IF(S6="","",U6/O6)</f>
        <v>0.90990653224544737</v>
      </c>
      <c r="W6" s="115">
        <f>IF(S6="","",(S6-S5)/(Q6-Q5))</f>
        <v>0.531088630676809</v>
      </c>
      <c r="X6" s="115">
        <f>IF(S6="","",((U6/O6)/W6))</f>
        <v>1.7132856545730988</v>
      </c>
      <c r="Y6" s="115">
        <f>IF(S6="","",(S6-S5)/(Q6-Q5))</f>
        <v>0.531088630676809</v>
      </c>
      <c r="Z6" s="30">
        <f>IF(U6="","",SUM($U$5:$U6))</f>
        <v>6.3693457257181318</v>
      </c>
      <c r="AA6" s="115">
        <f>IF(S6="","",Z6/(Y6*7*R5))</f>
        <v>1.7132856545730988</v>
      </c>
      <c r="AB6" s="174"/>
      <c r="AC6" s="216">
        <f>IFERROR(IF(AE6-AE5&lt;0,"",AE6-AE5),"")</f>
        <v>7</v>
      </c>
      <c r="AD6" s="216">
        <f>MAX('Curve-Gilts'!G4:G10)</f>
        <v>28</v>
      </c>
      <c r="AE6" s="216">
        <f t="shared" ref="AE6:AE31" si="3">IF(AD6&gt;0,AD6,"")</f>
        <v>28</v>
      </c>
      <c r="AF6" s="216">
        <f>IF(AG6="","",AF5+1)</f>
        <v>2</v>
      </c>
      <c r="AG6" s="28">
        <f>IFERROR(VLOOKUP(AE6,'Curve-Gilts'!$G$2:$R$185,12,FALSE),"")</f>
        <v>30.398325589402354</v>
      </c>
      <c r="AH6" s="28">
        <f>IFERROR(IF(AG7="",AG6+(MAX('Кормовой бюджет'!$C$43:$J$43)-AG6),AG6),"")</f>
        <v>30.398325589402354</v>
      </c>
      <c r="AI6" s="30">
        <f>IF(AG6="","",SUM('Curve-Gilts'!Q4:Q10))</f>
        <v>6.4168911144943301</v>
      </c>
      <c r="AJ6" s="30">
        <f>IF(AG6="","",AI6/AC6)</f>
        <v>0.91669873064204721</v>
      </c>
      <c r="AK6" s="115">
        <f>IF(AG6="","",(AG6-AG5)/(AE6-AE5))</f>
        <v>0.53505305912951384</v>
      </c>
      <c r="AL6" s="115">
        <f>IF(AG6="","",((AI6/AC6)/AK6))</f>
        <v>1.7132856545730972</v>
      </c>
      <c r="AM6" s="115">
        <f>IF(AG6="","",(AG6-AG5)/(AE6-AE5))</f>
        <v>0.53505305912951384</v>
      </c>
      <c r="AN6" s="30">
        <f>IF(AI6="","",SUM($AI$5:$AI6))</f>
        <v>6.4168911144943301</v>
      </c>
      <c r="AO6" s="115">
        <f t="shared" ref="AO6:AO15" si="4">IF(AG6="","",AN6/(AM6*7*AF5))</f>
        <v>1.713285654573097</v>
      </c>
    </row>
    <row r="7" spans="1:41" x14ac:dyDescent="0.25">
      <c r="A7" s="216">
        <f t="shared" ref="A7:A31" si="5">IFERROR(IF(C7-C6&lt;0,"",C7-C6),"")</f>
        <v>7</v>
      </c>
      <c r="B7" s="216">
        <f>MAX('Curve-Mixed'!G11:G17)</f>
        <v>35</v>
      </c>
      <c r="C7" s="216">
        <f t="shared" si="0"/>
        <v>35</v>
      </c>
      <c r="D7" s="216">
        <f t="shared" ref="D7:D31" si="6">IF(E7="","",D6+1)</f>
        <v>3</v>
      </c>
      <c r="E7" s="28">
        <f>IFERROR(VLOOKUP(C7,'Curve-Mixed'!$G$2:$R$185,12,FALSE),"")</f>
        <v>37.472492785289454</v>
      </c>
      <c r="F7" s="28">
        <f>IFERROR(IF(E8="",E7+(MAX('Кормовой бюджет'!$C$24:$J$24)-E7),E7),"")</f>
        <v>37.472492785289454</v>
      </c>
      <c r="G7" s="30">
        <f>IF(E7="","",SUM('Curve-Mixed'!Q11:Q17))</f>
        <v>13.624139743345751</v>
      </c>
      <c r="H7" s="30">
        <f t="shared" ref="H7:H31" si="7">IF(E7="","",G7/A7)</f>
        <v>1.9463056776208216</v>
      </c>
      <c r="I7" s="115">
        <f t="shared" si="1"/>
        <v>1.0407893441117158</v>
      </c>
      <c r="J7" s="115">
        <f t="shared" ref="J7:J31" si="8">IF(E7="","",((G7/A7)/I7))</f>
        <v>1.870028443922952</v>
      </c>
      <c r="K7" s="115">
        <f t="shared" ref="K7:K30" si="9">IF(E7="","",(E7-$E$5)/(B7-$B$5))</f>
        <v>0.786930094507439</v>
      </c>
      <c r="L7" s="30">
        <f>IF(G7="","",SUM($G$5:$G7))</f>
        <v>20.017258163451981</v>
      </c>
      <c r="M7" s="115">
        <f t="shared" ref="M7:M31" si="10">IF(E7="","",L7/(K7*7*D6))</f>
        <v>1.8169392230795771</v>
      </c>
      <c r="N7" s="174"/>
      <c r="O7" s="216">
        <f t="shared" ref="O7:O31" si="11">IFERROR(IF(Q7-Q6&lt;0,"",Q7-Q6),"")</f>
        <v>7</v>
      </c>
      <c r="P7" s="216">
        <f>MAX('Curve-Barrows'!G11:G17)</f>
        <v>35</v>
      </c>
      <c r="Q7" s="216">
        <f t="shared" si="2"/>
        <v>35</v>
      </c>
      <c r="R7" s="216">
        <f t="shared" ref="R7:R31" si="12">IF(S7="","",R6+1)</f>
        <v>3</v>
      </c>
      <c r="S7" s="28">
        <f>IFERROR(VLOOKUP(Q7,'Curve-Barrows'!$G$2:$R$185,12,FALSE),"")</f>
        <v>37.235506709622463</v>
      </c>
      <c r="T7" s="28">
        <f>IFERROR(IF(S8="",S7+(MAX('Кормовой бюджет'!$C$38:$J$38)-S7),S7),"")</f>
        <v>37.235506709622463</v>
      </c>
      <c r="U7" s="30">
        <f>IF(S7="","",SUM('Curve-Barrows'!Q11:Q17))</f>
        <v>13.573478627887503</v>
      </c>
      <c r="V7" s="30">
        <f t="shared" ref="V7:V31" si="13">IF(S7="","",U7/O7)</f>
        <v>1.9390683754125004</v>
      </c>
      <c r="W7" s="115">
        <f>IF(S7="","",(S7-S6)/(Q7-Q6))</f>
        <v>1.0369191878946604</v>
      </c>
      <c r="X7" s="115">
        <f t="shared" ref="X7:X31" si="14">IF(S7="","",((U7/O7)/W7))</f>
        <v>1.8700284439229495</v>
      </c>
      <c r="Y7" s="115">
        <f t="shared" ref="Y7:Y23" si="15">IF(S7="","",(S7-$S$5)/(Q7-$Q$5))</f>
        <v>0.78400390928573471</v>
      </c>
      <c r="Z7" s="30">
        <f>IF(U7="","",SUM($U$5:$U7))</f>
        <v>19.942824353605637</v>
      </c>
      <c r="AA7" s="115">
        <f t="shared" ref="AA7:AA31" si="16">IF(S7="","",Z7/(Y7*7*R6))</f>
        <v>1.8169392230795771</v>
      </c>
      <c r="AB7" s="174"/>
      <c r="AC7" s="216">
        <f t="shared" ref="AC7:AC30" si="17">IFERROR(IF(AE7-AE6&lt;0,"",AE7-AE6),"")</f>
        <v>7</v>
      </c>
      <c r="AD7" s="216">
        <f>MAX('Curve-Gilts'!G11:G17)</f>
        <v>35</v>
      </c>
      <c r="AE7" s="216">
        <f t="shared" si="3"/>
        <v>35</v>
      </c>
      <c r="AF7" s="216">
        <f t="shared" ref="AF7:AF31" si="18">IF(AG7="","",AF6+1)</f>
        <v>3</v>
      </c>
      <c r="AG7" s="28">
        <f>IFERROR(VLOOKUP(AE7,'Curve-Gilts'!$G$2:$R$185,12,FALSE),"")</f>
        <v>37.710942091703771</v>
      </c>
      <c r="AH7" s="28">
        <f>IFERROR(IF(AG8="",AG7+(MAX('Кормовой бюджет'!$C$43:$J$43)-AG7),AG7),"")</f>
        <v>37.710942091703771</v>
      </c>
      <c r="AI7" s="30">
        <f>IF(AG7="","",SUM('Curve-Gilts'!Q11:Q17))</f>
        <v>13.674800858804003</v>
      </c>
      <c r="AJ7" s="30">
        <f t="shared" ref="AJ7:AJ31" si="19">IF(AG7="","",AI7/AC7)</f>
        <v>1.9535429798291433</v>
      </c>
      <c r="AK7" s="115">
        <f>IF(AG7="","",(AG7-AG6)/(AE7-AE6))</f>
        <v>1.0446595003287737</v>
      </c>
      <c r="AL7" s="115">
        <f t="shared" ref="AL7:AL31" si="20">IF(AG7="","",((AI7/AC7)/AK7))</f>
        <v>1.87002844392295</v>
      </c>
      <c r="AM7" s="115">
        <f t="shared" ref="AM7:AM23" si="21">IF(AG7="","",(AG7-$AG$5)/(AE7-$AE$5))</f>
        <v>0.78985627972914385</v>
      </c>
      <c r="AN7" s="30">
        <f>IF(AI7="","",SUM($AI$5:$AI7))</f>
        <v>20.091691973298332</v>
      </c>
      <c r="AO7" s="115">
        <f t="shared" si="4"/>
        <v>1.8169392230795764</v>
      </c>
    </row>
    <row r="8" spans="1:41" x14ac:dyDescent="0.25">
      <c r="A8" s="216">
        <f t="shared" si="5"/>
        <v>7</v>
      </c>
      <c r="B8" s="216">
        <f>MAX('Curve-Mixed'!G18:G24)</f>
        <v>42</v>
      </c>
      <c r="C8" s="216">
        <f t="shared" si="0"/>
        <v>42</v>
      </c>
      <c r="D8" s="216">
        <f t="shared" si="6"/>
        <v>4</v>
      </c>
      <c r="E8" s="28">
        <f>IFERROR(VLOOKUP(C8,'Curve-Mixed'!$G$2:$R$185,12,FALSE),"")</f>
        <v>47.62098639794192</v>
      </c>
      <c r="F8" s="28">
        <f>IFERROR(IF(E9="",E8+(MAX('Кормовой бюджет'!$C$24:$J$24)-E8),E8),"")</f>
        <v>47.62098639794192</v>
      </c>
      <c r="G8" s="30">
        <f>IF(E8="","",SUM('Curve-Mixed'!Q18:Q24))</f>
        <v>20.768410191620521</v>
      </c>
      <c r="H8" s="30">
        <f t="shared" si="7"/>
        <v>2.9669157416600744</v>
      </c>
      <c r="I8" s="115">
        <f t="shared" si="1"/>
        <v>1.449784801807495</v>
      </c>
      <c r="J8" s="115">
        <f t="shared" si="8"/>
        <v>2.0464525065796813</v>
      </c>
      <c r="K8" s="115">
        <f t="shared" si="9"/>
        <v>1.0078816636074577</v>
      </c>
      <c r="L8" s="30">
        <f>IF(G8="","",SUM($G$5:$G8))</f>
        <v>40.785668355072502</v>
      </c>
      <c r="M8" s="115">
        <f t="shared" si="10"/>
        <v>1.9269868216704704</v>
      </c>
      <c r="N8" s="174"/>
      <c r="O8" s="216">
        <f t="shared" si="11"/>
        <v>7</v>
      </c>
      <c r="P8" s="216">
        <f>MAX('Curve-Barrows'!G18:G24)</f>
        <v>42</v>
      </c>
      <c r="Q8" s="216">
        <f t="shared" si="2"/>
        <v>42</v>
      </c>
      <c r="R8" s="216">
        <f t="shared" si="12"/>
        <v>4</v>
      </c>
      <c r="S8" s="28">
        <f>IFERROR(VLOOKUP(Q8,'Curve-Barrows'!$G$2:$R$185,12,FALSE),"")</f>
        <v>47.346263333641275</v>
      </c>
      <c r="T8" s="28">
        <f>IFERROR(IF(S9="",S8+(MAX('Кормовой бюджет'!$C$38:$J$38)-S8),S8),"")</f>
        <v>47.346263333641275</v>
      </c>
      <c r="U8" s="30">
        <f>IF(S8="","",SUM('Curve-Barrows'!Q18:Q24))</f>
        <v>20.691183236640413</v>
      </c>
      <c r="V8" s="30">
        <f t="shared" si="13"/>
        <v>2.9558833195200589</v>
      </c>
      <c r="W8" s="115">
        <f t="shared" ref="W8:W29" si="22">IF(S8="","",(S8-S7)/(Q8-Q7))</f>
        <v>1.4443938034312589</v>
      </c>
      <c r="X8" s="115">
        <f t="shared" si="14"/>
        <v>2.0464525065796813</v>
      </c>
      <c r="Y8" s="115">
        <f t="shared" si="15"/>
        <v>1.0041338740009094</v>
      </c>
      <c r="Z8" s="30">
        <f>IF(U8="","",SUM($U$5:$U8))</f>
        <v>40.63400759024605</v>
      </c>
      <c r="AA8" s="115">
        <f t="shared" si="16"/>
        <v>1.9269868216704704</v>
      </c>
      <c r="AB8" s="174"/>
      <c r="AC8" s="216">
        <f t="shared" si="17"/>
        <v>7</v>
      </c>
      <c r="AD8" s="216">
        <f>MAX('Curve-Gilts'!G18:G24)</f>
        <v>42</v>
      </c>
      <c r="AE8" s="216">
        <f t="shared" si="3"/>
        <v>42</v>
      </c>
      <c r="AF8" s="216">
        <f t="shared" si="18"/>
        <v>4</v>
      </c>
      <c r="AG8" s="28">
        <f>IFERROR(VLOOKUP(AE8,'Curve-Gilts'!$G$2:$R$185,12,FALSE),"")</f>
        <v>47.897172692989905</v>
      </c>
      <c r="AH8" s="28">
        <f>IFERROR(IF(AG9="",AG8+(MAX('Кормовой бюджет'!$C$43:$J$43)-AG8),AG8),"")</f>
        <v>47.897172692989905</v>
      </c>
      <c r="AI8" s="30">
        <f>IF(AG8="","",SUM('Curve-Gilts'!Q18:Q24))</f>
        <v>20.845637146600627</v>
      </c>
      <c r="AJ8" s="30">
        <f t="shared" si="19"/>
        <v>2.9779481638000895</v>
      </c>
      <c r="AK8" s="115">
        <f>IF(AG8="","",(AG8-AG7)/(AE8-AE7))</f>
        <v>1.4551758001837334</v>
      </c>
      <c r="AL8" s="115">
        <f t="shared" si="20"/>
        <v>2.0464525065796777</v>
      </c>
      <c r="AM8" s="115">
        <f t="shared" si="21"/>
        <v>1.0116294532140071</v>
      </c>
      <c r="AN8" s="30">
        <f>IF(AI8="","",SUM($AI$5:$AI8))</f>
        <v>40.937329119898962</v>
      </c>
      <c r="AO8" s="115">
        <f t="shared" si="4"/>
        <v>1.9269868216704684</v>
      </c>
    </row>
    <row r="9" spans="1:41" x14ac:dyDescent="0.25">
      <c r="A9" s="216">
        <f t="shared" si="5"/>
        <v>7</v>
      </c>
      <c r="B9" s="216">
        <f>MAX('Curve-Mixed'!G25:G31)</f>
        <v>49</v>
      </c>
      <c r="C9" s="216">
        <f t="shared" si="0"/>
        <v>49</v>
      </c>
      <c r="D9" s="216">
        <f t="shared" si="6"/>
        <v>5</v>
      </c>
      <c r="E9" s="28">
        <f>IFERROR(VLOOKUP(C9,'Curve-Mixed'!$G$2:$R$185,12,FALSE),"")</f>
        <v>59.861738540812809</v>
      </c>
      <c r="F9" s="28">
        <f>IFERROR(IF(E10="",E9+(MAX('Кормовой бюджет'!$C$24:$J$24)-E9),E9),"")</f>
        <v>59.861738540812809</v>
      </c>
      <c r="G9" s="30">
        <f>IF(E9="","",SUM('Curve-Mixed'!Q25:Q31))</f>
        <v>26.956175009630392</v>
      </c>
      <c r="H9" s="30">
        <f t="shared" si="7"/>
        <v>3.8508821442329131</v>
      </c>
      <c r="I9" s="115">
        <f t="shared" si="1"/>
        <v>1.7486788775529842</v>
      </c>
      <c r="J9" s="115">
        <f t="shared" si="8"/>
        <v>2.2021665576596026</v>
      </c>
      <c r="K9" s="115">
        <f t="shared" si="9"/>
        <v>1.1930809670938394</v>
      </c>
      <c r="L9" s="30">
        <f>IF(G9="","",SUM($G$5:$G9))</f>
        <v>67.741843364702902</v>
      </c>
      <c r="M9" s="115">
        <f t="shared" si="10"/>
        <v>2.0278184092003038</v>
      </c>
      <c r="N9" s="174"/>
      <c r="O9" s="216">
        <f t="shared" si="11"/>
        <v>7</v>
      </c>
      <c r="P9" s="216">
        <f>MAX('Curve-Barrows'!G25:G31)</f>
        <v>49</v>
      </c>
      <c r="Q9" s="216">
        <f t="shared" si="2"/>
        <v>49</v>
      </c>
      <c r="R9" s="216">
        <f t="shared" si="12"/>
        <v>5</v>
      </c>
      <c r="S9" s="28">
        <f>IFERROR(VLOOKUP(Q9,'Curve-Barrows'!$G$2:$R$185,12,FALSE),"")</f>
        <v>59.541498462646494</v>
      </c>
      <c r="T9" s="28">
        <f>IFERROR(IF(S10="",S9+(MAX('Кормовой бюджет'!$C$38:$J$38)-S9),S9),"")</f>
        <v>59.541498462646494</v>
      </c>
      <c r="U9" s="30">
        <f>IF(S9="","",SUM('Curve-Barrows'!Q25:Q31))</f>
        <v>26.855938963890875</v>
      </c>
      <c r="V9" s="30">
        <f t="shared" si="13"/>
        <v>3.8365627091272678</v>
      </c>
      <c r="W9" s="115">
        <f t="shared" si="22"/>
        <v>1.7421764470007457</v>
      </c>
      <c r="X9" s="115">
        <f t="shared" si="14"/>
        <v>2.2021665576596017</v>
      </c>
      <c r="Y9" s="115">
        <f t="shared" si="15"/>
        <v>1.1886445172508684</v>
      </c>
      <c r="Z9" s="30">
        <f>IF(U9="","",SUM($U$5:$U9))</f>
        <v>67.489946554136921</v>
      </c>
      <c r="AA9" s="115">
        <f t="shared" si="16"/>
        <v>2.0278184092003033</v>
      </c>
      <c r="AB9" s="174"/>
      <c r="AC9" s="216">
        <f t="shared" si="17"/>
        <v>7</v>
      </c>
      <c r="AD9" s="216">
        <f>MAX('Curve-Gilts'!G25:G31)</f>
        <v>49</v>
      </c>
      <c r="AE9" s="216">
        <f t="shared" si="3"/>
        <v>49</v>
      </c>
      <c r="AF9" s="216">
        <f t="shared" si="18"/>
        <v>5</v>
      </c>
      <c r="AG9" s="28">
        <f>IFERROR(VLOOKUP(AE9,'Curve-Gilts'!$G$2:$R$185,12,FALSE),"")</f>
        <v>60.183441849726485</v>
      </c>
      <c r="AH9" s="28">
        <f>IFERROR(IF(AG10="",AG9+(MAX('Кормовой бюджет'!$C$43:$J$43)-AG9),AG9),"")</f>
        <v>60.183441849726485</v>
      </c>
      <c r="AI9" s="30">
        <f>IF(AG9="","",SUM('Curve-Gilts'!Q25:Q31))</f>
        <v>27.056411055369928</v>
      </c>
      <c r="AJ9" s="30">
        <f t="shared" si="19"/>
        <v>3.865201579338561</v>
      </c>
      <c r="AK9" s="115">
        <f t="shared" ref="AK9:AK31" si="23">IF(AG9="","",(AG9-AG8)/(AE9-AE8))</f>
        <v>1.7551813081052257</v>
      </c>
      <c r="AL9" s="115">
        <f t="shared" si="20"/>
        <v>2.2021665576596012</v>
      </c>
      <c r="AM9" s="115">
        <f t="shared" si="21"/>
        <v>1.1975174169368117</v>
      </c>
      <c r="AN9" s="30">
        <f>IF(AI9="","",SUM($AI$5:$AI9))</f>
        <v>67.993740175268897</v>
      </c>
      <c r="AO9" s="115">
        <f t="shared" si="4"/>
        <v>2.0278184092003024</v>
      </c>
    </row>
    <row r="10" spans="1:41" x14ac:dyDescent="0.25">
      <c r="A10" s="216">
        <f t="shared" si="5"/>
        <v>7</v>
      </c>
      <c r="B10" s="216">
        <f>MAX('Curve-Mixed'!G32:G38)</f>
        <v>56</v>
      </c>
      <c r="C10" s="216">
        <f t="shared" si="0"/>
        <v>56</v>
      </c>
      <c r="D10" s="216">
        <f t="shared" si="6"/>
        <v>6</v>
      </c>
      <c r="E10" s="28">
        <f>IFERROR(VLOOKUP(C10,'Curve-Mixed'!$G$2:$R$185,12,FALSE),"")</f>
        <v>74.154931040631894</v>
      </c>
      <c r="F10" s="28">
        <f>IFERROR(IF(E11="",E10+(MAX('Кормовой бюджет'!$C$24:$J$24)-E10),E10),"")</f>
        <v>74.154931040631894</v>
      </c>
      <c r="G10" s="30">
        <f>IF(E10="","",SUM('Curve-Mixed'!Q32:Q38))</f>
        <v>33.53953166237946</v>
      </c>
      <c r="H10" s="30">
        <f t="shared" si="7"/>
        <v>4.7913616660542084</v>
      </c>
      <c r="I10" s="115">
        <f t="shared" si="1"/>
        <v>2.041884642831298</v>
      </c>
      <c r="J10" s="115">
        <f t="shared" si="8"/>
        <v>2.3465388619655112</v>
      </c>
      <c r="K10" s="115">
        <f t="shared" si="9"/>
        <v>1.3628417022413311</v>
      </c>
      <c r="L10" s="30">
        <f>IF(G10="","",SUM($G$5:$G10))</f>
        <v>101.28137502708236</v>
      </c>
      <c r="M10" s="115">
        <f t="shared" si="10"/>
        <v>2.1233233232027482</v>
      </c>
      <c r="N10" s="174"/>
      <c r="O10" s="216">
        <f t="shared" si="11"/>
        <v>7</v>
      </c>
      <c r="P10" s="216">
        <f>MAX('Curve-Barrows'!G32:G38)</f>
        <v>56</v>
      </c>
      <c r="Q10" s="216">
        <f t="shared" si="2"/>
        <v>56</v>
      </c>
      <c r="R10" s="216">
        <f t="shared" si="12"/>
        <v>6</v>
      </c>
      <c r="S10" s="28">
        <f>IFERROR(VLOOKUP(Q10,'Curve-Barrows'!$G$2:$R$185,12,FALSE),"")</f>
        <v>73.781541986519855</v>
      </c>
      <c r="T10" s="28">
        <f>IFERROR(IF(S11="",S10+(MAX('Кормовой бюджет'!$C$38:$J$38)-S10),S10),"")</f>
        <v>73.781541986519855</v>
      </c>
      <c r="U10" s="30">
        <f>IF(S10="","",SUM('Curve-Barrows'!Q32:Q38))</f>
        <v>33.414815524849132</v>
      </c>
      <c r="V10" s="30">
        <f t="shared" si="13"/>
        <v>4.7735450749784478</v>
      </c>
      <c r="W10" s="115">
        <f>IF(S10="","",(S10-S9)/(Q10-Q9))</f>
        <v>2.0342919319819086</v>
      </c>
      <c r="X10" s="115">
        <f t="shared" si="14"/>
        <v>2.3465388619655108</v>
      </c>
      <c r="Y10" s="115">
        <f t="shared" si="15"/>
        <v>1.3577740001970764</v>
      </c>
      <c r="Z10" s="30">
        <f>IF(U10="","",SUM($U$5:$U10))</f>
        <v>100.90476207898605</v>
      </c>
      <c r="AA10" s="115">
        <f t="shared" si="16"/>
        <v>2.1233233232027477</v>
      </c>
      <c r="AB10" s="174"/>
      <c r="AC10" s="216">
        <f t="shared" si="17"/>
        <v>7</v>
      </c>
      <c r="AD10" s="216">
        <f>MAX('Curve-Gilts'!G32:G38)</f>
        <v>56</v>
      </c>
      <c r="AE10" s="216">
        <f t="shared" si="3"/>
        <v>56</v>
      </c>
      <c r="AF10" s="216">
        <f t="shared" si="18"/>
        <v>6</v>
      </c>
      <c r="AG10" s="28">
        <f>IFERROR(VLOOKUP(AE10,'Curve-Gilts'!$G$2:$R$185,12,FALSE),"")</f>
        <v>74.529783325491323</v>
      </c>
      <c r="AH10" s="28">
        <f>IFERROR(IF(AG11="",AG10+(MAX('Кормовой бюджет'!$C$43:$J$43)-AG10),AG10),"")</f>
        <v>74.529783325491323</v>
      </c>
      <c r="AI10" s="30">
        <f>IF(AG10="","",SUM('Curve-Gilts'!Q32:Q38))</f>
        <v>33.664247799909795</v>
      </c>
      <c r="AJ10" s="30">
        <f t="shared" si="19"/>
        <v>4.8091782571299708</v>
      </c>
      <c r="AK10" s="115">
        <f t="shared" si="23"/>
        <v>2.0494773536806909</v>
      </c>
      <c r="AL10" s="115">
        <f t="shared" si="20"/>
        <v>2.3465388619655085</v>
      </c>
      <c r="AM10" s="115">
        <f t="shared" si="21"/>
        <v>1.3679094042855875</v>
      </c>
      <c r="AN10" s="30">
        <f>IF(AI10="","",SUM($AI$5:$AI10))</f>
        <v>101.65798797517868</v>
      </c>
      <c r="AO10" s="115">
        <f t="shared" si="4"/>
        <v>2.123323323202746</v>
      </c>
    </row>
    <row r="11" spans="1:41" x14ac:dyDescent="0.25">
      <c r="A11" s="216">
        <f t="shared" si="5"/>
        <v>7</v>
      </c>
      <c r="B11" s="216">
        <f>MAX('Curve-Mixed'!G39:G45)</f>
        <v>63</v>
      </c>
      <c r="C11" s="216">
        <f t="shared" si="0"/>
        <v>63</v>
      </c>
      <c r="D11" s="216">
        <f t="shared" si="6"/>
        <v>7</v>
      </c>
      <c r="E11" s="28">
        <f>IFERROR(VLOOKUP(C11,'Curve-Mixed'!$G$2:$R$185,12,FALSE),"")</f>
        <v>90.710893178592102</v>
      </c>
      <c r="F11" s="28">
        <f>IFERROR(IF(E12="",E11+(MAX('Кормовой бюджет'!$C$24:$J$24)-E11),E11),"")</f>
        <v>90.710893178592102</v>
      </c>
      <c r="G11" s="30">
        <f>IF(E11="","",SUM('Curve-Mixed'!Q39:Q45))</f>
        <v>41.242268392418879</v>
      </c>
      <c r="H11" s="30">
        <f t="shared" si="7"/>
        <v>5.8917526274884109</v>
      </c>
      <c r="I11" s="115">
        <f t="shared" si="1"/>
        <v>2.3651374482800298</v>
      </c>
      <c r="J11" s="115">
        <f t="shared" si="8"/>
        <v>2.491082550729979</v>
      </c>
      <c r="K11" s="115">
        <f t="shared" si="9"/>
        <v>1.5298909932477809</v>
      </c>
      <c r="L11" s="30">
        <f>IF(G11="","",SUM($G$5:$G11))</f>
        <v>142.52364341950124</v>
      </c>
      <c r="M11" s="115">
        <f t="shared" si="10"/>
        <v>2.2180796516834569</v>
      </c>
      <c r="N11" s="174"/>
      <c r="O11" s="216">
        <f t="shared" si="11"/>
        <v>7</v>
      </c>
      <c r="P11" s="216">
        <f>MAX('Curve-Barrows'!G39:G45)</f>
        <v>63</v>
      </c>
      <c r="Q11" s="216">
        <f t="shared" si="2"/>
        <v>63</v>
      </c>
      <c r="R11" s="216">
        <f t="shared" si="12"/>
        <v>7</v>
      </c>
      <c r="S11" s="28">
        <f>IFERROR(VLOOKUP(Q11,'Curve-Barrows'!$G$2:$R$185,12,FALSE),"")</f>
        <v>90.488035419247183</v>
      </c>
      <c r="T11" s="28">
        <f>IFERROR(IF(S12="",S11+(MAX('Кормовой бюджет'!$C$38:$J$38)-S11),S11),"")</f>
        <v>90.488035419247183</v>
      </c>
      <c r="U11" s="30">
        <f>IF(S11="","",SUM('Curve-Barrows'!Q39:Q45))</f>
        <v>41.627723526770296</v>
      </c>
      <c r="V11" s="30">
        <f t="shared" si="13"/>
        <v>5.9468176466814713</v>
      </c>
      <c r="W11" s="115">
        <f t="shared" si="22"/>
        <v>2.3866419189610468</v>
      </c>
      <c r="X11" s="115">
        <f t="shared" si="14"/>
        <v>2.4917092084221166</v>
      </c>
      <c r="Y11" s="115">
        <f t="shared" si="15"/>
        <v>1.5292519866577381</v>
      </c>
      <c r="Z11" s="30">
        <f>IF(U11="","",SUM($U$5:$U11))</f>
        <v>142.53248560575634</v>
      </c>
      <c r="AA11" s="115">
        <f t="shared" si="16"/>
        <v>2.2191441562733072</v>
      </c>
      <c r="AB11" s="174"/>
      <c r="AC11" s="216">
        <f t="shared" si="17"/>
        <v>7</v>
      </c>
      <c r="AD11" s="216">
        <f>MAX('Curve-Gilts'!G39:G45)</f>
        <v>63</v>
      </c>
      <c r="AE11" s="216">
        <f t="shared" si="3"/>
        <v>63</v>
      </c>
      <c r="AF11" s="216">
        <f t="shared" si="18"/>
        <v>7</v>
      </c>
      <c r="AG11" s="28">
        <f>IFERROR(VLOOKUP(AE11,'Curve-Gilts'!$G$2:$R$185,12,FALSE),"")</f>
        <v>90.935214168684382</v>
      </c>
      <c r="AH11" s="28">
        <f>IFERROR(IF(AG12="",AG11+(MAX('Кормовой бюджет'!$C$43:$J$43)-AG11),AG11),"")</f>
        <v>90.935214168684382</v>
      </c>
      <c r="AI11" s="30">
        <f>IF(AG11="","",SUM('Curve-Gilts'!Q39:Q45))</f>
        <v>40.856813258067461</v>
      </c>
      <c r="AJ11" s="30">
        <f t="shared" si="19"/>
        <v>5.8366876082953514</v>
      </c>
      <c r="AK11" s="115">
        <f t="shared" si="23"/>
        <v>2.3436329775990083</v>
      </c>
      <c r="AL11" s="115">
        <f t="shared" si="20"/>
        <v>2.4904443929931759</v>
      </c>
      <c r="AM11" s="115">
        <f t="shared" si="21"/>
        <v>1.5305299998378246</v>
      </c>
      <c r="AN11" s="30">
        <f>IF(AI11="","",SUM($AI$5:$AI11))</f>
        <v>142.51480123324615</v>
      </c>
      <c r="AO11" s="115">
        <f t="shared" si="4"/>
        <v>2.2170160359692872</v>
      </c>
    </row>
    <row r="12" spans="1:41" x14ac:dyDescent="0.25">
      <c r="A12" s="216">
        <f t="shared" si="5"/>
        <v>7</v>
      </c>
      <c r="B12" s="216">
        <f>MAX('Curve-Mixed'!G46:G52)</f>
        <v>70</v>
      </c>
      <c r="C12" s="216">
        <f t="shared" si="0"/>
        <v>70</v>
      </c>
      <c r="D12" s="216">
        <f t="shared" si="6"/>
        <v>8</v>
      </c>
      <c r="E12" s="28">
        <f>IFERROR(VLOOKUP(C12,'Curve-Mixed'!$G$2:$R$185,12,FALSE),"")</f>
        <v>108.91039353280475</v>
      </c>
      <c r="F12" s="28">
        <f>IFERROR(IF(E13="",E12+(MAX('Кормовой бюджет'!$C$24:$J$24)-E12),E12),"")</f>
        <v>108.91039353280475</v>
      </c>
      <c r="G12" s="30">
        <f>IF(E12="","",SUM('Curve-Mixed'!Q46:Q52))</f>
        <v>49.601436369858519</v>
      </c>
      <c r="H12" s="30">
        <f t="shared" si="7"/>
        <v>7.0859194814083599</v>
      </c>
      <c r="I12" s="115">
        <f t="shared" si="1"/>
        <v>2.5999286220303781</v>
      </c>
      <c r="J12" s="115">
        <f t="shared" si="8"/>
        <v>2.7254284680610614</v>
      </c>
      <c r="K12" s="115">
        <f t="shared" si="9"/>
        <v>1.6827535116452945</v>
      </c>
      <c r="L12" s="30">
        <f>IF(G12="","",SUM($G$5:$G12))</f>
        <v>192.12507978935975</v>
      </c>
      <c r="M12" s="115">
        <f t="shared" si="10"/>
        <v>2.3300619898083474</v>
      </c>
      <c r="N12" s="174"/>
      <c r="O12" s="216">
        <f t="shared" si="11"/>
        <v>7</v>
      </c>
      <c r="P12" s="216">
        <f>MAX('Curve-Barrows'!G46:G52)</f>
        <v>70</v>
      </c>
      <c r="Q12" s="216">
        <f t="shared" si="2"/>
        <v>70</v>
      </c>
      <c r="R12" s="216">
        <f t="shared" si="12"/>
        <v>8</v>
      </c>
      <c r="S12" s="28">
        <f>IFERROR(VLOOKUP(Q12,'Curve-Barrows'!$G$2:$R$185,12,FALSE),"")</f>
        <v>109.2103942549421</v>
      </c>
      <c r="T12" s="28">
        <f>IFERROR(IF(S13="",S12+(MAX('Кормовой бюджет'!$C$38:$J$38)-S12),S12),"")</f>
        <v>109.2103942549421</v>
      </c>
      <c r="U12" s="30">
        <f>IF(S12="","",SUM('Curve-Barrows'!Q46:Q52))</f>
        <v>51.028179244286051</v>
      </c>
      <c r="V12" s="30">
        <f t="shared" si="13"/>
        <v>7.2897398920408643</v>
      </c>
      <c r="W12" s="115">
        <f t="shared" si="22"/>
        <v>2.67462269081356</v>
      </c>
      <c r="X12" s="115">
        <f t="shared" si="14"/>
        <v>2.7255208433992197</v>
      </c>
      <c r="Y12" s="115">
        <f t="shared" si="15"/>
        <v>1.6928763729657128</v>
      </c>
      <c r="Z12" s="30">
        <f>IF(U12="","",SUM($U$5:$U12))</f>
        <v>193.56066485004237</v>
      </c>
      <c r="AA12" s="115">
        <f t="shared" si="16"/>
        <v>2.3334353961598304</v>
      </c>
      <c r="AB12" s="174"/>
      <c r="AC12" s="216">
        <f t="shared" si="17"/>
        <v>7</v>
      </c>
      <c r="AD12" s="216">
        <f>MAX('Curve-Gilts'!G46:G52)</f>
        <v>70</v>
      </c>
      <c r="AE12" s="216">
        <f t="shared" si="3"/>
        <v>70</v>
      </c>
      <c r="AF12" s="216">
        <f t="shared" si="18"/>
        <v>8</v>
      </c>
      <c r="AG12" s="28">
        <f>IFERROR(VLOOKUP(AE12,'Curve-Gilts'!$G$2:$R$185,12,FALSE),"")</f>
        <v>108.61185604141477</v>
      </c>
      <c r="AH12" s="28">
        <f>IFERROR(IF(AG13="",AG12+(MAX('Кормовой бюджет'!$C$43:$J$43)-AG12),AG12),"")</f>
        <v>108.61185604141477</v>
      </c>
      <c r="AI12" s="30">
        <f>IF(AG12="","",SUM('Curve-Gilts'!Q46:Q52))</f>
        <v>48.174693495430965</v>
      </c>
      <c r="AJ12" s="30">
        <f t="shared" si="19"/>
        <v>6.882099070775852</v>
      </c>
      <c r="AK12" s="115">
        <f t="shared" si="23"/>
        <v>2.525234553247198</v>
      </c>
      <c r="AL12" s="115">
        <f t="shared" si="20"/>
        <v>2.7253306279712368</v>
      </c>
      <c r="AM12" s="115">
        <f t="shared" si="21"/>
        <v>1.672630650324878</v>
      </c>
      <c r="AN12" s="30">
        <f>IF(AI12="","",SUM($AI$5:$AI12))</f>
        <v>190.68949472867712</v>
      </c>
      <c r="AO12" s="115">
        <f t="shared" si="4"/>
        <v>2.3266477513404991</v>
      </c>
    </row>
    <row r="13" spans="1:41" x14ac:dyDescent="0.25">
      <c r="A13" s="216">
        <f t="shared" si="5"/>
        <v>4</v>
      </c>
      <c r="B13" s="216">
        <f>MAX('Curve-Mixed'!G53:G59)</f>
        <v>74</v>
      </c>
      <c r="C13" s="216">
        <f t="shared" si="0"/>
        <v>74</v>
      </c>
      <c r="D13" s="216">
        <f t="shared" si="6"/>
        <v>9</v>
      </c>
      <c r="E13" s="28">
        <f>IFERROR(VLOOKUP(C13,'Curve-Mixed'!$G$2:$R$185,12,FALSE),"")</f>
        <v>119.93147062857339</v>
      </c>
      <c r="F13" s="28">
        <f>IFERROR(IF(E14="",E13+(MAX('Кормовой бюджет'!$C$24:$J$24)-E13),E13),"")</f>
        <v>55</v>
      </c>
      <c r="G13" s="30">
        <f>IF(E13="","",SUM('Curve-Mixed'!Q53:Q59))</f>
        <v>32.217318209971573</v>
      </c>
      <c r="H13" s="30">
        <f t="shared" si="7"/>
        <v>8.0543295524928933</v>
      </c>
      <c r="I13" s="115">
        <f t="shared" si="1"/>
        <v>2.7552692739421616</v>
      </c>
      <c r="J13" s="115">
        <f t="shared" si="8"/>
        <v>2.923245879691819</v>
      </c>
      <c r="K13" s="115">
        <f t="shared" si="9"/>
        <v>1.7636980974790204</v>
      </c>
      <c r="L13" s="30">
        <f>IF(G13="","",SUM($G$5:$G13))</f>
        <v>224.34239799933133</v>
      </c>
      <c r="M13" s="115">
        <f t="shared" si="10"/>
        <v>2.2714285714285705</v>
      </c>
      <c r="N13" s="174"/>
      <c r="O13" s="216">
        <f t="shared" si="11"/>
        <v>4</v>
      </c>
      <c r="P13" s="216">
        <f>MAX('Curve-Barrows'!G53:G59)</f>
        <v>74</v>
      </c>
      <c r="Q13" s="216">
        <f t="shared" si="2"/>
        <v>74</v>
      </c>
      <c r="R13" s="216">
        <f t="shared" si="12"/>
        <v>9</v>
      </c>
      <c r="S13" s="28">
        <f>IFERROR(VLOOKUP(Q13,'Curve-Barrows'!$G$2:$R$185,12,FALSE),"")</f>
        <v>120.58371079110675</v>
      </c>
      <c r="T13" s="28">
        <f>IFERROR(IF(S14="",S13+(MAX('Кормовой бюджет'!$C$38:$J$38)-S13),S13),"")</f>
        <v>54.995685233557055</v>
      </c>
      <c r="U13" s="30">
        <f>IF(S13="","",SUM('Curve-Barrows'!Q53:Q59))</f>
        <v>33.247257904278797</v>
      </c>
      <c r="V13" s="30">
        <f t="shared" si="13"/>
        <v>8.3118144760696993</v>
      </c>
      <c r="W13" s="115">
        <f t="shared" si="22"/>
        <v>2.8433291340411628</v>
      </c>
      <c r="X13" s="115">
        <f t="shared" si="14"/>
        <v>2.9232684941599762</v>
      </c>
      <c r="Y13" s="115">
        <f t="shared" si="15"/>
        <v>1.7797029964431053</v>
      </c>
      <c r="Z13" s="30">
        <f>IF(U13="","",SUM($U$5:$U13))</f>
        <v>226.80792275432117</v>
      </c>
      <c r="AA13" s="115">
        <f t="shared" si="16"/>
        <v>2.2757401014946335</v>
      </c>
      <c r="AB13" s="174"/>
      <c r="AC13" s="216">
        <f t="shared" si="17"/>
        <v>4</v>
      </c>
      <c r="AD13" s="216">
        <f>MAX('Curve-Gilts'!G53:G59)</f>
        <v>74</v>
      </c>
      <c r="AE13" s="216">
        <f t="shared" si="3"/>
        <v>74</v>
      </c>
      <c r="AF13" s="216">
        <f t="shared" si="18"/>
        <v>9</v>
      </c>
      <c r="AG13" s="28">
        <f>IFERROR(VLOOKUP(AE13,'Curve-Gilts'!$G$2:$R$185,12,FALSE),"")</f>
        <v>119.28069369678742</v>
      </c>
      <c r="AH13" s="28">
        <f>IFERROR(IF(AG14="",AG13+(MAX('Кормовой бюджет'!$C$43:$J$43)-AG13),AG13),"")</f>
        <v>54.404646621594239</v>
      </c>
      <c r="AI13" s="30">
        <f>IF(AG13="","",SUM('Curve-Gilts'!Q53:Q59))</f>
        <v>31.187378515664459</v>
      </c>
      <c r="AJ13" s="30">
        <f t="shared" si="19"/>
        <v>7.7968446289161148</v>
      </c>
      <c r="AK13" s="115">
        <f t="shared" si="23"/>
        <v>2.6672094138431639</v>
      </c>
      <c r="AL13" s="115">
        <f t="shared" si="20"/>
        <v>2.9232217719574161</v>
      </c>
      <c r="AM13" s="115">
        <f t="shared" si="21"/>
        <v>1.7476931985149369</v>
      </c>
      <c r="AN13" s="30">
        <f>IF(AI13="","",SUM($AI$5:$AI13))</f>
        <v>221.87687324434157</v>
      </c>
      <c r="AO13" s="115">
        <f t="shared" si="4"/>
        <v>2.2670380737231683</v>
      </c>
    </row>
    <row r="14" spans="1:41" x14ac:dyDescent="0.25">
      <c r="A14" s="216" t="str">
        <f t="shared" si="5"/>
        <v/>
      </c>
      <c r="B14" s="216">
        <f>MAX('Curve-Mixed'!G60:G66)</f>
        <v>0</v>
      </c>
      <c r="C14" s="216" t="str">
        <f t="shared" si="0"/>
        <v/>
      </c>
      <c r="D14" s="216" t="str">
        <f t="shared" si="6"/>
        <v/>
      </c>
      <c r="E14" s="28" t="str">
        <f>IFERROR(VLOOKUP(C14,'Curve-Mixed'!$G$2:$R$185,12,FALSE),"")</f>
        <v/>
      </c>
      <c r="F14" s="28" t="str">
        <f>IFERROR(IF(E15="",E14+(MAX('Кормовой бюджет'!$C$24:$J$24)-E14),E14),"")</f>
        <v/>
      </c>
      <c r="G14" s="30" t="str">
        <f>IF(E14="","",SUM('Curve-Mixed'!Q60:Q66))</f>
        <v/>
      </c>
      <c r="H14" s="30" t="str">
        <f t="shared" si="7"/>
        <v/>
      </c>
      <c r="I14" s="115" t="str">
        <f t="shared" si="1"/>
        <v/>
      </c>
      <c r="J14" s="115" t="str">
        <f t="shared" si="8"/>
        <v/>
      </c>
      <c r="K14" s="115" t="str">
        <f t="shared" si="9"/>
        <v/>
      </c>
      <c r="L14" s="30" t="str">
        <f>IF(G14="","",SUM($G$5:$G14))</f>
        <v/>
      </c>
      <c r="M14" s="115" t="str">
        <f t="shared" si="10"/>
        <v/>
      </c>
      <c r="N14" s="174"/>
      <c r="O14" s="216" t="str">
        <f t="shared" si="11"/>
        <v/>
      </c>
      <c r="P14" s="216">
        <f>MAX('Curve-Barrows'!G60:G66)</f>
        <v>0</v>
      </c>
      <c r="Q14" s="216" t="str">
        <f t="shared" si="2"/>
        <v/>
      </c>
      <c r="R14" s="216" t="str">
        <f t="shared" si="12"/>
        <v/>
      </c>
      <c r="S14" s="28" t="str">
        <f>IFERROR(VLOOKUP(Q14,'Curve-Barrows'!$G$2:$R$185,12,FALSE),"")</f>
        <v/>
      </c>
      <c r="T14" s="28" t="str">
        <f>IFERROR(IF(S15="",S14+(MAX('Кормовой бюджет'!$C$38:$J$38)-S14),S14),"")</f>
        <v/>
      </c>
      <c r="U14" s="30" t="str">
        <f>IF(S14="","",SUM('Curve-Barrows'!Q60:Q66))</f>
        <v/>
      </c>
      <c r="V14" s="30" t="str">
        <f t="shared" si="13"/>
        <v/>
      </c>
      <c r="W14" s="115" t="str">
        <f t="shared" si="22"/>
        <v/>
      </c>
      <c r="X14" s="115" t="str">
        <f t="shared" si="14"/>
        <v/>
      </c>
      <c r="Y14" s="115" t="str">
        <f t="shared" si="15"/>
        <v/>
      </c>
      <c r="Z14" s="30" t="str">
        <f>IF(U14="","",SUM($U$5:$U14))</f>
        <v/>
      </c>
      <c r="AA14" s="115" t="str">
        <f t="shared" si="16"/>
        <v/>
      </c>
      <c r="AB14" s="174"/>
      <c r="AC14" s="216" t="str">
        <f t="shared" si="17"/>
        <v/>
      </c>
      <c r="AD14" s="216">
        <f>MAX('Curve-Gilts'!G60:G66)</f>
        <v>0</v>
      </c>
      <c r="AE14" s="216" t="str">
        <f t="shared" si="3"/>
        <v/>
      </c>
      <c r="AF14" s="216" t="str">
        <f t="shared" si="18"/>
        <v/>
      </c>
      <c r="AG14" s="28" t="str">
        <f>IFERROR(VLOOKUP(AE14,'Curve-Gilts'!$G$2:$R$185,12,FALSE),"")</f>
        <v/>
      </c>
      <c r="AH14" s="28" t="str">
        <f>IFERROR(IF(AG15="",AG14+(MAX('Кормовой бюджет'!$C$43:$J$43)-AG14),AG14),"")</f>
        <v/>
      </c>
      <c r="AI14" s="30" t="str">
        <f>IF(AG14="","",SUM('Curve-Gilts'!Q60:Q66))</f>
        <v/>
      </c>
      <c r="AJ14" s="30" t="str">
        <f t="shared" si="19"/>
        <v/>
      </c>
      <c r="AK14" s="115" t="str">
        <f t="shared" si="23"/>
        <v/>
      </c>
      <c r="AL14" s="115" t="str">
        <f t="shared" si="20"/>
        <v/>
      </c>
      <c r="AM14" s="115" t="str">
        <f t="shared" si="21"/>
        <v/>
      </c>
      <c r="AN14" s="30" t="str">
        <f>IF(AI14="","",SUM($AI$5:$AI14))</f>
        <v/>
      </c>
      <c r="AO14" s="115" t="str">
        <f t="shared" si="4"/>
        <v/>
      </c>
    </row>
    <row r="15" spans="1:41" x14ac:dyDescent="0.25">
      <c r="A15" s="216" t="str">
        <f t="shared" si="5"/>
        <v/>
      </c>
      <c r="B15" s="216">
        <f>MAX('Curve-Mixed'!G67:G73)</f>
        <v>0</v>
      </c>
      <c r="C15" s="216" t="str">
        <f t="shared" si="0"/>
        <v/>
      </c>
      <c r="D15" s="216" t="str">
        <f t="shared" si="6"/>
        <v/>
      </c>
      <c r="E15" s="28" t="str">
        <f>IFERROR(VLOOKUP(C15,'Curve-Mixed'!$G$2:$R$185,12,FALSE),"")</f>
        <v/>
      </c>
      <c r="F15" s="28" t="str">
        <f>IFERROR(IF(E16="",E15+(MAX('Кормовой бюджет'!$C$24:$J$24)-E15),E15),"")</f>
        <v/>
      </c>
      <c r="G15" s="30" t="str">
        <f>IF(E15="","",SUM('Curve-Mixed'!Q67:Q73))</f>
        <v/>
      </c>
      <c r="H15" s="30" t="str">
        <f t="shared" si="7"/>
        <v/>
      </c>
      <c r="I15" s="115" t="str">
        <f t="shared" si="1"/>
        <v/>
      </c>
      <c r="J15" s="115" t="str">
        <f t="shared" si="8"/>
        <v/>
      </c>
      <c r="K15" s="115" t="str">
        <f t="shared" si="9"/>
        <v/>
      </c>
      <c r="L15" s="30" t="str">
        <f>IF(G15="","",SUM($G$5:$G15))</f>
        <v/>
      </c>
      <c r="M15" s="115" t="str">
        <f t="shared" si="10"/>
        <v/>
      </c>
      <c r="N15" s="174"/>
      <c r="O15" s="216" t="str">
        <f t="shared" si="11"/>
        <v/>
      </c>
      <c r="P15" s="216">
        <f>MAX('Curve-Barrows'!G67:G73)</f>
        <v>0</v>
      </c>
      <c r="Q15" s="216" t="str">
        <f t="shared" si="2"/>
        <v/>
      </c>
      <c r="R15" s="216" t="str">
        <f t="shared" si="12"/>
        <v/>
      </c>
      <c r="S15" s="28" t="str">
        <f>IFERROR(VLOOKUP(Q15,'Curve-Barrows'!$G$2:$R$185,12,FALSE),"")</f>
        <v/>
      </c>
      <c r="T15" s="28" t="str">
        <f>IFERROR(IF(S16="",S15+(MAX('Кормовой бюджет'!$C$38:$J$38)-S15),S15),"")</f>
        <v/>
      </c>
      <c r="U15" s="30" t="str">
        <f>IF(S15="","",SUM('Curve-Barrows'!Q67:Q73))</f>
        <v/>
      </c>
      <c r="V15" s="30" t="str">
        <f t="shared" si="13"/>
        <v/>
      </c>
      <c r="W15" s="115" t="str">
        <f t="shared" si="22"/>
        <v/>
      </c>
      <c r="X15" s="115" t="str">
        <f t="shared" si="14"/>
        <v/>
      </c>
      <c r="Y15" s="115" t="str">
        <f t="shared" si="15"/>
        <v/>
      </c>
      <c r="Z15" s="30" t="str">
        <f>IF(U15="","",SUM($U$5:$U15))</f>
        <v/>
      </c>
      <c r="AA15" s="115" t="str">
        <f t="shared" si="16"/>
        <v/>
      </c>
      <c r="AB15" s="174"/>
      <c r="AC15" s="216" t="str">
        <f t="shared" si="17"/>
        <v/>
      </c>
      <c r="AD15" s="216">
        <f>MAX('Curve-Gilts'!G67:G73)</f>
        <v>0</v>
      </c>
      <c r="AE15" s="216" t="str">
        <f t="shared" si="3"/>
        <v/>
      </c>
      <c r="AF15" s="216" t="str">
        <f t="shared" si="18"/>
        <v/>
      </c>
      <c r="AG15" s="28" t="str">
        <f>IFERROR(VLOOKUP(AE15,'Curve-Gilts'!$G$2:$R$185,12,FALSE),"")</f>
        <v/>
      </c>
      <c r="AH15" s="28" t="str">
        <f>IFERROR(IF(AG16="",AG15+(MAX('Кормовой бюджет'!$C$43:$J$43)-AG15),AG15),"")</f>
        <v/>
      </c>
      <c r="AI15" s="30" t="str">
        <f>IF(AG15="","",SUM('Curve-Gilts'!Q67:Q73))</f>
        <v/>
      </c>
      <c r="AJ15" s="30" t="str">
        <f t="shared" si="19"/>
        <v/>
      </c>
      <c r="AK15" s="115" t="str">
        <f>IF(AG15="","",(AG15-AG14)/(AE15-AE14))</f>
        <v/>
      </c>
      <c r="AL15" s="115" t="str">
        <f t="shared" si="20"/>
        <v/>
      </c>
      <c r="AM15" s="115" t="str">
        <f t="shared" si="21"/>
        <v/>
      </c>
      <c r="AN15" s="30" t="str">
        <f>IF(AI15="","",SUM($AI$5:$AI15))</f>
        <v/>
      </c>
      <c r="AO15" s="115" t="str">
        <f t="shared" si="4"/>
        <v/>
      </c>
    </row>
    <row r="16" spans="1:41" x14ac:dyDescent="0.25">
      <c r="A16" s="216" t="str">
        <f t="shared" si="5"/>
        <v/>
      </c>
      <c r="B16" s="216">
        <f>MAX('Curve-Mixed'!G74:G80)</f>
        <v>0</v>
      </c>
      <c r="C16" s="216" t="str">
        <f t="shared" si="0"/>
        <v/>
      </c>
      <c r="D16" s="216" t="str">
        <f t="shared" si="6"/>
        <v/>
      </c>
      <c r="E16" s="28" t="str">
        <f>IFERROR(VLOOKUP(C16,'Curve-Mixed'!$G$2:$R$185,12,FALSE),"")</f>
        <v/>
      </c>
      <c r="F16" s="28" t="str">
        <f>IFERROR(IF(E17="",E16+(MAX('Кормовой бюджет'!$C$24:$J$24)-E16),E16),"")</f>
        <v/>
      </c>
      <c r="G16" s="30" t="str">
        <f>IF(E16="","",SUM('Curve-Mixed'!Q74:Q80))</f>
        <v/>
      </c>
      <c r="H16" s="30" t="str">
        <f t="shared" si="7"/>
        <v/>
      </c>
      <c r="I16" s="115" t="str">
        <f t="shared" si="1"/>
        <v/>
      </c>
      <c r="J16" s="115" t="str">
        <f t="shared" si="8"/>
        <v/>
      </c>
      <c r="K16" s="115" t="str">
        <f t="shared" si="9"/>
        <v/>
      </c>
      <c r="L16" s="30" t="str">
        <f>IF(G16="","",SUM($G$5:$G16))</f>
        <v/>
      </c>
      <c r="M16" s="115" t="str">
        <f t="shared" si="10"/>
        <v/>
      </c>
      <c r="N16" s="174"/>
      <c r="O16" s="216" t="str">
        <f t="shared" si="11"/>
        <v/>
      </c>
      <c r="P16" s="216">
        <f>MAX('Curve-Barrows'!G74:G80)</f>
        <v>0</v>
      </c>
      <c r="Q16" s="216" t="str">
        <f t="shared" si="2"/>
        <v/>
      </c>
      <c r="R16" s="216" t="str">
        <f t="shared" si="12"/>
        <v/>
      </c>
      <c r="S16" s="28" t="str">
        <f>IFERROR(VLOOKUP(Q16,'Curve-Barrows'!$G$2:$R$185,12,FALSE),"")</f>
        <v/>
      </c>
      <c r="T16" s="28" t="str">
        <f>IFERROR(IF(S17="",S16+(MAX('Кормовой бюджет'!$C$38:$J$38)-S16),S16),"")</f>
        <v/>
      </c>
      <c r="U16" s="30" t="str">
        <f>IF(S16="","",SUM('Curve-Barrows'!Q74:Q80))</f>
        <v/>
      </c>
      <c r="V16" s="30" t="str">
        <f t="shared" si="13"/>
        <v/>
      </c>
      <c r="W16" s="115" t="str">
        <f t="shared" si="22"/>
        <v/>
      </c>
      <c r="X16" s="115" t="str">
        <f t="shared" si="14"/>
        <v/>
      </c>
      <c r="Y16" s="115" t="str">
        <f t="shared" si="15"/>
        <v/>
      </c>
      <c r="Z16" s="30" t="str">
        <f>IF(U16="","",SUM($U$5:$U16))</f>
        <v/>
      </c>
      <c r="AA16" s="115" t="str">
        <f t="shared" si="16"/>
        <v/>
      </c>
      <c r="AB16" s="174"/>
      <c r="AC16" s="216" t="str">
        <f t="shared" si="17"/>
        <v/>
      </c>
      <c r="AD16" s="216">
        <f>MAX('Curve-Gilts'!G74:G80)</f>
        <v>0</v>
      </c>
      <c r="AE16" s="216" t="str">
        <f t="shared" si="3"/>
        <v/>
      </c>
      <c r="AF16" s="216" t="str">
        <f t="shared" si="18"/>
        <v/>
      </c>
      <c r="AG16" s="28" t="str">
        <f>IFERROR(VLOOKUP(AE16,'Curve-Gilts'!$G$2:$R$185,12,FALSE),"")</f>
        <v/>
      </c>
      <c r="AH16" s="28" t="str">
        <f>IFERROR(IF(AG17="",AG16+(MAX('Кормовой бюджет'!$C$43:$J$43)-AG16),AG16),"")</f>
        <v/>
      </c>
      <c r="AI16" s="30" t="str">
        <f>IF(AG16="","",SUM('Curve-Gilts'!Q74:Q80))</f>
        <v/>
      </c>
      <c r="AJ16" s="30" t="str">
        <f t="shared" si="19"/>
        <v/>
      </c>
      <c r="AK16" s="115" t="str">
        <f t="shared" si="23"/>
        <v/>
      </c>
      <c r="AL16" s="115" t="str">
        <f t="shared" si="20"/>
        <v/>
      </c>
      <c r="AM16" s="115" t="str">
        <f t="shared" si="21"/>
        <v/>
      </c>
      <c r="AN16" s="30" t="str">
        <f>IF(AI16="","",SUM($AI$5:$AI16))</f>
        <v/>
      </c>
      <c r="AO16" s="115" t="str">
        <f t="shared" ref="AO16:AO31" si="24">IF(AG16="","",AN16/(AM16*7*AF15))</f>
        <v/>
      </c>
    </row>
    <row r="17" spans="1:41" x14ac:dyDescent="0.25">
      <c r="A17" s="216" t="str">
        <f t="shared" si="5"/>
        <v/>
      </c>
      <c r="B17" s="216">
        <f>MAX('Curve-Mixed'!G81:G87)</f>
        <v>0</v>
      </c>
      <c r="C17" s="216" t="str">
        <f t="shared" si="0"/>
        <v/>
      </c>
      <c r="D17" s="216" t="str">
        <f t="shared" si="6"/>
        <v/>
      </c>
      <c r="E17" s="28" t="str">
        <f>IFERROR(VLOOKUP(C17,'Curve-Mixed'!$G$2:$R$185,12,FALSE),"")</f>
        <v/>
      </c>
      <c r="F17" s="28" t="str">
        <f>IFERROR(IF(E18="",E17+(MAX('Кормовой бюджет'!$C$24:$J$24)-E17),E17),"")</f>
        <v/>
      </c>
      <c r="G17" s="30" t="str">
        <f>IF(E17="","",SUM('Curve-Mixed'!Q81:Q87))</f>
        <v/>
      </c>
      <c r="H17" s="30" t="str">
        <f t="shared" si="7"/>
        <v/>
      </c>
      <c r="I17" s="115" t="str">
        <f t="shared" si="1"/>
        <v/>
      </c>
      <c r="J17" s="115" t="str">
        <f t="shared" si="8"/>
        <v/>
      </c>
      <c r="K17" s="115" t="str">
        <f t="shared" si="9"/>
        <v/>
      </c>
      <c r="L17" s="30" t="str">
        <f>IF(G17="","",SUM($G$5:$G17))</f>
        <v/>
      </c>
      <c r="M17" s="115" t="str">
        <f t="shared" si="10"/>
        <v/>
      </c>
      <c r="N17" s="174"/>
      <c r="O17" s="216" t="str">
        <f t="shared" si="11"/>
        <v/>
      </c>
      <c r="P17" s="216">
        <f>MAX('Curve-Barrows'!G81:G87)</f>
        <v>0</v>
      </c>
      <c r="Q17" s="216" t="str">
        <f t="shared" si="2"/>
        <v/>
      </c>
      <c r="R17" s="216" t="str">
        <f t="shared" si="12"/>
        <v/>
      </c>
      <c r="S17" s="28" t="str">
        <f>IFERROR(VLOOKUP(Q17,'Curve-Barrows'!$G$2:$R$185,12,FALSE),"")</f>
        <v/>
      </c>
      <c r="T17" s="28" t="str">
        <f>IFERROR(IF(S18="",S17+(MAX('Кормовой бюджет'!$C$38:$J$38)-S17),S17),"")</f>
        <v/>
      </c>
      <c r="U17" s="30" t="str">
        <f>IF(S17="","",SUM('Curve-Barrows'!Q81:Q87))</f>
        <v/>
      </c>
      <c r="V17" s="30" t="str">
        <f t="shared" si="13"/>
        <v/>
      </c>
      <c r="W17" s="115" t="str">
        <f t="shared" si="22"/>
        <v/>
      </c>
      <c r="X17" s="115" t="str">
        <f t="shared" si="14"/>
        <v/>
      </c>
      <c r="Y17" s="115" t="str">
        <f t="shared" si="15"/>
        <v/>
      </c>
      <c r="Z17" s="30" t="str">
        <f>IF(U17="","",SUM($U$5:$U17))</f>
        <v/>
      </c>
      <c r="AA17" s="115" t="str">
        <f t="shared" si="16"/>
        <v/>
      </c>
      <c r="AB17" s="174"/>
      <c r="AC17" s="216" t="str">
        <f t="shared" si="17"/>
        <v/>
      </c>
      <c r="AD17" s="216">
        <f>MAX('Curve-Gilts'!G81:G87)</f>
        <v>0</v>
      </c>
      <c r="AE17" s="216" t="str">
        <f t="shared" si="3"/>
        <v/>
      </c>
      <c r="AF17" s="216" t="str">
        <f t="shared" si="18"/>
        <v/>
      </c>
      <c r="AG17" s="28" t="str">
        <f>IFERROR(VLOOKUP(AE17,'Curve-Gilts'!$G$2:$R$185,12,FALSE),"")</f>
        <v/>
      </c>
      <c r="AH17" s="28" t="str">
        <f>IFERROR(IF(AG18="",AG17+(MAX('Кормовой бюджет'!$C$43:$J$43)-AG17),AG17),"")</f>
        <v/>
      </c>
      <c r="AI17" s="30" t="str">
        <f>IF(AG17="","",SUM('Curve-Gilts'!Q81:Q87))</f>
        <v/>
      </c>
      <c r="AJ17" s="30" t="str">
        <f t="shared" si="19"/>
        <v/>
      </c>
      <c r="AK17" s="115" t="str">
        <f t="shared" si="23"/>
        <v/>
      </c>
      <c r="AL17" s="115" t="str">
        <f t="shared" si="20"/>
        <v/>
      </c>
      <c r="AM17" s="115" t="str">
        <f t="shared" si="21"/>
        <v/>
      </c>
      <c r="AN17" s="30" t="str">
        <f>IF(AI17="","",SUM($AI$5:$AI17))</f>
        <v/>
      </c>
      <c r="AO17" s="115" t="str">
        <f t="shared" si="24"/>
        <v/>
      </c>
    </row>
    <row r="18" spans="1:41" x14ac:dyDescent="0.25">
      <c r="A18" s="216" t="str">
        <f t="shared" si="5"/>
        <v/>
      </c>
      <c r="B18" s="216">
        <f>MAX('Curve-Mixed'!G88:G94)</f>
        <v>0</v>
      </c>
      <c r="C18" s="216" t="str">
        <f t="shared" si="0"/>
        <v/>
      </c>
      <c r="D18" s="216" t="str">
        <f t="shared" si="6"/>
        <v/>
      </c>
      <c r="E18" s="28" t="str">
        <f>IFERROR(VLOOKUP(C18,'Curve-Mixed'!$G$2:$R$185,12,FALSE),"")</f>
        <v/>
      </c>
      <c r="F18" s="28" t="str">
        <f>IFERROR(IF(E19="",E18+(MAX('Кормовой бюджет'!$C$24:$J$24)-E18),E18),"")</f>
        <v/>
      </c>
      <c r="G18" s="30" t="str">
        <f>IF(E18="","",SUM('Curve-Mixed'!Q88:Q94))</f>
        <v/>
      </c>
      <c r="H18" s="30" t="str">
        <f t="shared" si="7"/>
        <v/>
      </c>
      <c r="I18" s="115" t="str">
        <f t="shared" si="1"/>
        <v/>
      </c>
      <c r="J18" s="115" t="str">
        <f t="shared" si="8"/>
        <v/>
      </c>
      <c r="K18" s="115" t="str">
        <f t="shared" si="9"/>
        <v/>
      </c>
      <c r="L18" s="30" t="str">
        <f>IF(G18="","",SUM($G$5:$G18))</f>
        <v/>
      </c>
      <c r="M18" s="115" t="str">
        <f t="shared" si="10"/>
        <v/>
      </c>
      <c r="N18" s="174"/>
      <c r="O18" s="216" t="str">
        <f t="shared" si="11"/>
        <v/>
      </c>
      <c r="P18" s="216">
        <f>MAX('Curve-Barrows'!G88:G94)</f>
        <v>0</v>
      </c>
      <c r="Q18" s="216" t="str">
        <f t="shared" si="2"/>
        <v/>
      </c>
      <c r="R18" s="216" t="str">
        <f t="shared" si="12"/>
        <v/>
      </c>
      <c r="S18" s="28" t="str">
        <f>IFERROR(VLOOKUP(Q18,'Curve-Barrows'!$G$2:$R$185,12,FALSE),"")</f>
        <v/>
      </c>
      <c r="T18" s="28" t="str">
        <f>IFERROR(IF(S19="",S18+(MAX('Кормовой бюджет'!$C$38:$J$38)-S18),S18),"")</f>
        <v/>
      </c>
      <c r="U18" s="30" t="str">
        <f>IF(S18="","",SUM('Curve-Barrows'!Q88:Q94))</f>
        <v/>
      </c>
      <c r="V18" s="30" t="str">
        <f t="shared" si="13"/>
        <v/>
      </c>
      <c r="W18" s="115" t="str">
        <f t="shared" si="22"/>
        <v/>
      </c>
      <c r="X18" s="115" t="str">
        <f t="shared" si="14"/>
        <v/>
      </c>
      <c r="Y18" s="115" t="str">
        <f t="shared" si="15"/>
        <v/>
      </c>
      <c r="Z18" s="30" t="str">
        <f>IF(U18="","",SUM($U$5:$U18))</f>
        <v/>
      </c>
      <c r="AA18" s="115" t="str">
        <f t="shared" si="16"/>
        <v/>
      </c>
      <c r="AB18" s="174"/>
      <c r="AC18" s="216" t="str">
        <f t="shared" si="17"/>
        <v/>
      </c>
      <c r="AD18" s="216">
        <f>MAX('Curve-Gilts'!G88:G94)</f>
        <v>0</v>
      </c>
      <c r="AE18" s="216" t="str">
        <f t="shared" si="3"/>
        <v/>
      </c>
      <c r="AF18" s="216" t="str">
        <f t="shared" si="18"/>
        <v/>
      </c>
      <c r="AG18" s="28" t="str">
        <f>IFERROR(VLOOKUP(AE18,'Curve-Gilts'!$G$2:$R$185,12,FALSE),"")</f>
        <v/>
      </c>
      <c r="AH18" s="28" t="str">
        <f>IFERROR(IF(AG19="",AG18+(MAX('Кормовой бюджет'!$C$43:$J$43)-AG18),AG18),"")</f>
        <v/>
      </c>
      <c r="AI18" s="30" t="str">
        <f>IF(AG18="","",SUM('Curve-Gilts'!Q88:Q94))</f>
        <v/>
      </c>
      <c r="AJ18" s="30" t="str">
        <f t="shared" si="19"/>
        <v/>
      </c>
      <c r="AK18" s="115" t="str">
        <f t="shared" si="23"/>
        <v/>
      </c>
      <c r="AL18" s="115" t="str">
        <f t="shared" si="20"/>
        <v/>
      </c>
      <c r="AM18" s="115" t="str">
        <f t="shared" si="21"/>
        <v/>
      </c>
      <c r="AN18" s="30" t="str">
        <f>IF(AI18="","",SUM($AI$5:$AI18))</f>
        <v/>
      </c>
      <c r="AO18" s="115" t="str">
        <f t="shared" si="24"/>
        <v/>
      </c>
    </row>
    <row r="19" spans="1:41" x14ac:dyDescent="0.25">
      <c r="A19" s="216" t="str">
        <f t="shared" si="5"/>
        <v/>
      </c>
      <c r="B19" s="216">
        <f>MAX('Curve-Mixed'!G95:G101)</f>
        <v>0</v>
      </c>
      <c r="C19" s="216" t="str">
        <f t="shared" si="0"/>
        <v/>
      </c>
      <c r="D19" s="216" t="str">
        <f t="shared" si="6"/>
        <v/>
      </c>
      <c r="E19" s="28" t="str">
        <f>IFERROR(VLOOKUP(C19,'Curve-Mixed'!$G$2:$R$185,12,FALSE),"")</f>
        <v/>
      </c>
      <c r="F19" s="28" t="str">
        <f>IFERROR(IF(E20="",E19+(MAX('Кормовой бюджет'!$C$24:$J$24)-E19),E19),"")</f>
        <v/>
      </c>
      <c r="G19" s="30" t="str">
        <f>IF(E19="","",SUM('Curve-Mixed'!Q95:Q101))</f>
        <v/>
      </c>
      <c r="H19" s="30" t="str">
        <f t="shared" si="7"/>
        <v/>
      </c>
      <c r="I19" s="115" t="str">
        <f t="shared" si="1"/>
        <v/>
      </c>
      <c r="J19" s="115" t="str">
        <f t="shared" si="8"/>
        <v/>
      </c>
      <c r="K19" s="115" t="str">
        <f t="shared" si="9"/>
        <v/>
      </c>
      <c r="L19" s="30" t="str">
        <f>IF(G19="","",SUM($G$5:$G19))</f>
        <v/>
      </c>
      <c r="M19" s="115" t="str">
        <f t="shared" si="10"/>
        <v/>
      </c>
      <c r="N19" s="174"/>
      <c r="O19" s="216" t="str">
        <f t="shared" si="11"/>
        <v/>
      </c>
      <c r="P19" s="216">
        <f>MAX('Curve-Barrows'!G95:G101)</f>
        <v>0</v>
      </c>
      <c r="Q19" s="216" t="str">
        <f t="shared" si="2"/>
        <v/>
      </c>
      <c r="R19" s="216" t="str">
        <f t="shared" si="12"/>
        <v/>
      </c>
      <c r="S19" s="28" t="str">
        <f>IFERROR(VLOOKUP(Q19,'Curve-Barrows'!$G$2:$R$185,12,FALSE),"")</f>
        <v/>
      </c>
      <c r="T19" s="28" t="str">
        <f>IFERROR(IF(S20="",S19+(MAX('Кормовой бюджет'!$C$38:$J$38)-S19),S19),"")</f>
        <v/>
      </c>
      <c r="U19" s="30" t="str">
        <f>IF(S19="","",SUM('Curve-Barrows'!Q95:Q101))</f>
        <v/>
      </c>
      <c r="V19" s="30" t="str">
        <f t="shared" si="13"/>
        <v/>
      </c>
      <c r="W19" s="115" t="str">
        <f t="shared" si="22"/>
        <v/>
      </c>
      <c r="X19" s="115" t="str">
        <f t="shared" si="14"/>
        <v/>
      </c>
      <c r="Y19" s="115" t="str">
        <f t="shared" si="15"/>
        <v/>
      </c>
      <c r="Z19" s="30" t="str">
        <f>IF(U19="","",SUM($U$5:$U19))</f>
        <v/>
      </c>
      <c r="AA19" s="115" t="str">
        <f t="shared" si="16"/>
        <v/>
      </c>
      <c r="AB19" s="174"/>
      <c r="AC19" s="216" t="str">
        <f t="shared" si="17"/>
        <v/>
      </c>
      <c r="AD19" s="216">
        <f>MAX('Curve-Gilts'!G95:G101)</f>
        <v>0</v>
      </c>
      <c r="AE19" s="216" t="str">
        <f t="shared" si="3"/>
        <v/>
      </c>
      <c r="AF19" s="216" t="str">
        <f t="shared" si="18"/>
        <v/>
      </c>
      <c r="AG19" s="28" t="str">
        <f>IFERROR(VLOOKUP(AE19,'Curve-Gilts'!$G$2:$R$185,12,FALSE),"")</f>
        <v/>
      </c>
      <c r="AH19" s="28" t="str">
        <f>IFERROR(IF(AG20="",AG19+(MAX('Кормовой бюджет'!$C$43:$J$43)-AG19),AG19),"")</f>
        <v/>
      </c>
      <c r="AI19" s="30" t="str">
        <f>IF(AG19="","",SUM('Curve-Gilts'!Q95:Q101))</f>
        <v/>
      </c>
      <c r="AJ19" s="30" t="str">
        <f t="shared" si="19"/>
        <v/>
      </c>
      <c r="AK19" s="115" t="str">
        <f t="shared" si="23"/>
        <v/>
      </c>
      <c r="AL19" s="115" t="str">
        <f t="shared" si="20"/>
        <v/>
      </c>
      <c r="AM19" s="115" t="str">
        <f t="shared" si="21"/>
        <v/>
      </c>
      <c r="AN19" s="30" t="str">
        <f>IF(AI19="","",SUM($AI$5:$AI19))</f>
        <v/>
      </c>
      <c r="AO19" s="115" t="str">
        <f t="shared" si="24"/>
        <v/>
      </c>
    </row>
    <row r="20" spans="1:41" x14ac:dyDescent="0.25">
      <c r="A20" s="216" t="str">
        <f t="shared" si="5"/>
        <v/>
      </c>
      <c r="B20" s="216">
        <f>MAX('Curve-Mixed'!G102:G108)</f>
        <v>0</v>
      </c>
      <c r="C20" s="216" t="str">
        <f t="shared" si="0"/>
        <v/>
      </c>
      <c r="D20" s="216" t="str">
        <f t="shared" si="6"/>
        <v/>
      </c>
      <c r="E20" s="28" t="str">
        <f>IFERROR(VLOOKUP(C20,'Curve-Mixed'!$G$2:$R$185,12,FALSE),"")</f>
        <v/>
      </c>
      <c r="F20" s="28" t="str">
        <f>IFERROR(IF(E21="",E20+(MAX('Кормовой бюджет'!$C$24:$J$24)-E20),E20),"")</f>
        <v/>
      </c>
      <c r="G20" s="30" t="str">
        <f>IF(E20="","",SUM('Curve-Mixed'!Q102:Q108))</f>
        <v/>
      </c>
      <c r="H20" s="30" t="str">
        <f t="shared" si="7"/>
        <v/>
      </c>
      <c r="I20" s="115" t="str">
        <f t="shared" si="1"/>
        <v/>
      </c>
      <c r="J20" s="115" t="str">
        <f t="shared" si="8"/>
        <v/>
      </c>
      <c r="K20" s="115" t="str">
        <f t="shared" si="9"/>
        <v/>
      </c>
      <c r="L20" s="30" t="str">
        <f>IF(G20="","",SUM($G$5:$G20))</f>
        <v/>
      </c>
      <c r="M20" s="115" t="str">
        <f t="shared" si="10"/>
        <v/>
      </c>
      <c r="N20" s="174"/>
      <c r="O20" s="216" t="str">
        <f t="shared" si="11"/>
        <v/>
      </c>
      <c r="P20" s="216">
        <f>MAX('Curve-Barrows'!G102:G108)</f>
        <v>0</v>
      </c>
      <c r="Q20" s="216" t="str">
        <f t="shared" si="2"/>
        <v/>
      </c>
      <c r="R20" s="216" t="str">
        <f t="shared" si="12"/>
        <v/>
      </c>
      <c r="S20" s="28" t="str">
        <f>IFERROR(VLOOKUP(Q20,'Curve-Barrows'!$G$2:$R$185,12,FALSE),"")</f>
        <v/>
      </c>
      <c r="T20" s="28" t="str">
        <f>IFERROR(IF(S21="",S20+(MAX('Кормовой бюджет'!$C$38:$J$38)-S20),S20),"")</f>
        <v/>
      </c>
      <c r="U20" s="30" t="str">
        <f>IF(S20="","",SUM('Curve-Barrows'!Q102:Q108))</f>
        <v/>
      </c>
      <c r="V20" s="30" t="str">
        <f t="shared" si="13"/>
        <v/>
      </c>
      <c r="W20" s="115" t="str">
        <f t="shared" si="22"/>
        <v/>
      </c>
      <c r="X20" s="115" t="str">
        <f t="shared" si="14"/>
        <v/>
      </c>
      <c r="Y20" s="115" t="str">
        <f t="shared" si="15"/>
        <v/>
      </c>
      <c r="Z20" s="30" t="str">
        <f>IF(U20="","",SUM($U$5:$U20))</f>
        <v/>
      </c>
      <c r="AA20" s="115" t="str">
        <f t="shared" si="16"/>
        <v/>
      </c>
      <c r="AB20" s="174"/>
      <c r="AC20" s="216" t="str">
        <f t="shared" si="17"/>
        <v/>
      </c>
      <c r="AD20" s="216">
        <f>MAX('Curve-Gilts'!G102:G108)</f>
        <v>0</v>
      </c>
      <c r="AE20" s="216" t="str">
        <f t="shared" si="3"/>
        <v/>
      </c>
      <c r="AF20" s="216" t="str">
        <f t="shared" si="18"/>
        <v/>
      </c>
      <c r="AG20" s="28" t="str">
        <f>IFERROR(VLOOKUP(AE20,'Curve-Gilts'!$G$2:$R$185,12,FALSE),"")</f>
        <v/>
      </c>
      <c r="AH20" s="28" t="str">
        <f>IFERROR(IF(AG21="",AG20+(MAX('Кормовой бюджет'!$C$43:$J$43)-AG20),AG20),"")</f>
        <v/>
      </c>
      <c r="AI20" s="30" t="str">
        <f>IF(AG20="","",SUM('Curve-Gilts'!Q102:Q108))</f>
        <v/>
      </c>
      <c r="AJ20" s="30" t="str">
        <f t="shared" si="19"/>
        <v/>
      </c>
      <c r="AK20" s="115" t="str">
        <f t="shared" si="23"/>
        <v/>
      </c>
      <c r="AL20" s="115" t="str">
        <f t="shared" si="20"/>
        <v/>
      </c>
      <c r="AM20" s="115" t="str">
        <f t="shared" si="21"/>
        <v/>
      </c>
      <c r="AN20" s="30" t="str">
        <f>IF(AI20="","",SUM($AI$5:$AI20))</f>
        <v/>
      </c>
      <c r="AO20" s="115" t="str">
        <f t="shared" si="24"/>
        <v/>
      </c>
    </row>
    <row r="21" spans="1:41" x14ac:dyDescent="0.25">
      <c r="A21" s="216" t="str">
        <f t="shared" si="5"/>
        <v/>
      </c>
      <c r="B21" s="216">
        <f>MAX('Curve-Mixed'!G109:G115)</f>
        <v>0</v>
      </c>
      <c r="C21" s="216" t="str">
        <f t="shared" si="0"/>
        <v/>
      </c>
      <c r="D21" s="216" t="str">
        <f t="shared" si="6"/>
        <v/>
      </c>
      <c r="E21" s="28" t="str">
        <f>IFERROR(VLOOKUP(C21,'Curve-Mixed'!$G$2:$R$185,12,FALSE),"")</f>
        <v/>
      </c>
      <c r="F21" s="28" t="str">
        <f>IFERROR(IF(E22="",E21+(MAX('Кормовой бюджет'!$C$24:$J$24)-E21),E21),"")</f>
        <v/>
      </c>
      <c r="G21" s="30" t="str">
        <f>IF(E21="","",SUM('Curve-Mixed'!Q109:Q115))</f>
        <v/>
      </c>
      <c r="H21" s="30" t="str">
        <f t="shared" si="7"/>
        <v/>
      </c>
      <c r="I21" s="115" t="str">
        <f t="shared" si="1"/>
        <v/>
      </c>
      <c r="J21" s="115" t="str">
        <f t="shared" si="8"/>
        <v/>
      </c>
      <c r="K21" s="115" t="str">
        <f t="shared" si="9"/>
        <v/>
      </c>
      <c r="L21" s="30" t="str">
        <f>IF(G21="","",SUM($G$5:$G21))</f>
        <v/>
      </c>
      <c r="M21" s="115" t="str">
        <f t="shared" si="10"/>
        <v/>
      </c>
      <c r="N21" s="174"/>
      <c r="O21" s="216" t="str">
        <f t="shared" si="11"/>
        <v/>
      </c>
      <c r="P21" s="216">
        <f>MAX('Curve-Barrows'!G109:G115)</f>
        <v>0</v>
      </c>
      <c r="Q21" s="216" t="str">
        <f t="shared" si="2"/>
        <v/>
      </c>
      <c r="R21" s="216" t="str">
        <f t="shared" si="12"/>
        <v/>
      </c>
      <c r="S21" s="28" t="str">
        <f>IFERROR(VLOOKUP(Q21,'Curve-Barrows'!$G$2:$R$185,12,FALSE),"")</f>
        <v/>
      </c>
      <c r="T21" s="28" t="str">
        <f>IFERROR(IF(S22="",S21+(MAX('Кормовой бюджет'!$C$38:$J$38)-S21),S21),"")</f>
        <v/>
      </c>
      <c r="U21" s="30" t="str">
        <f>IF(S21="","",SUM('Curve-Barrows'!Q109:Q115))</f>
        <v/>
      </c>
      <c r="V21" s="30" t="str">
        <f t="shared" si="13"/>
        <v/>
      </c>
      <c r="W21" s="115" t="str">
        <f t="shared" si="22"/>
        <v/>
      </c>
      <c r="X21" s="115" t="str">
        <f t="shared" si="14"/>
        <v/>
      </c>
      <c r="Y21" s="115" t="str">
        <f t="shared" si="15"/>
        <v/>
      </c>
      <c r="Z21" s="30" t="str">
        <f>IF(U21="","",SUM($U$5:$U21))</f>
        <v/>
      </c>
      <c r="AA21" s="115" t="str">
        <f t="shared" si="16"/>
        <v/>
      </c>
      <c r="AB21" s="174"/>
      <c r="AC21" s="216" t="str">
        <f t="shared" si="17"/>
        <v/>
      </c>
      <c r="AD21" s="216">
        <f>MAX('Curve-Gilts'!G109:G115)</f>
        <v>0</v>
      </c>
      <c r="AE21" s="216" t="str">
        <f t="shared" si="3"/>
        <v/>
      </c>
      <c r="AF21" s="216" t="str">
        <f t="shared" si="18"/>
        <v/>
      </c>
      <c r="AG21" s="28" t="str">
        <f>IFERROR(VLOOKUP(AE21,'Curve-Gilts'!$G$2:$R$185,12,FALSE),"")</f>
        <v/>
      </c>
      <c r="AH21" s="28" t="str">
        <f>IFERROR(IF(AG22="",AG21+(MAX('Кормовой бюджет'!$C$43:$J$43)-AG21),AG21),"")</f>
        <v/>
      </c>
      <c r="AI21" s="30" t="str">
        <f>IF(AG21="","",SUM('Curve-Gilts'!Q109:Q115))</f>
        <v/>
      </c>
      <c r="AJ21" s="30" t="str">
        <f t="shared" si="19"/>
        <v/>
      </c>
      <c r="AK21" s="115" t="str">
        <f t="shared" si="23"/>
        <v/>
      </c>
      <c r="AL21" s="115" t="str">
        <f t="shared" si="20"/>
        <v/>
      </c>
      <c r="AM21" s="115" t="str">
        <f t="shared" si="21"/>
        <v/>
      </c>
      <c r="AN21" s="30" t="str">
        <f>IF(AI21="","",SUM($AI$5:$AI21))</f>
        <v/>
      </c>
      <c r="AO21" s="115" t="str">
        <f t="shared" si="24"/>
        <v/>
      </c>
    </row>
    <row r="22" spans="1:41" x14ac:dyDescent="0.25">
      <c r="A22" s="216" t="str">
        <f t="shared" si="5"/>
        <v/>
      </c>
      <c r="B22" s="216">
        <f>MAX('Curve-Mixed'!G116:G122)</f>
        <v>0</v>
      </c>
      <c r="C22" s="216" t="str">
        <f t="shared" si="0"/>
        <v/>
      </c>
      <c r="D22" s="216" t="str">
        <f t="shared" si="6"/>
        <v/>
      </c>
      <c r="E22" s="28" t="str">
        <f>IFERROR(VLOOKUP(C22,'Curve-Mixed'!$G$2:$R$185,12,FALSE),"")</f>
        <v/>
      </c>
      <c r="F22" s="28" t="str">
        <f>IFERROR(IF(E23="",E22+(MAX('Кормовой бюджет'!$C$24:$J$24)-E22),E22),"")</f>
        <v/>
      </c>
      <c r="G22" s="30" t="str">
        <f>IF(E22="","",SUM('Curve-Mixed'!Q116:Q122))</f>
        <v/>
      </c>
      <c r="H22" s="30" t="str">
        <f t="shared" si="7"/>
        <v/>
      </c>
      <c r="I22" s="115" t="str">
        <f t="shared" si="1"/>
        <v/>
      </c>
      <c r="J22" s="115" t="str">
        <f t="shared" si="8"/>
        <v/>
      </c>
      <c r="K22" s="115" t="str">
        <f t="shared" si="9"/>
        <v/>
      </c>
      <c r="L22" s="30" t="str">
        <f>IF(G22="","",SUM($G$5:$G22))</f>
        <v/>
      </c>
      <c r="M22" s="115" t="str">
        <f t="shared" si="10"/>
        <v/>
      </c>
      <c r="N22" s="174"/>
      <c r="O22" s="216" t="str">
        <f t="shared" si="11"/>
        <v/>
      </c>
      <c r="P22" s="216">
        <f>MAX('Curve-Barrows'!G116:G122)</f>
        <v>0</v>
      </c>
      <c r="Q22" s="216" t="str">
        <f t="shared" si="2"/>
        <v/>
      </c>
      <c r="R22" s="216" t="str">
        <f t="shared" si="12"/>
        <v/>
      </c>
      <c r="S22" s="28" t="str">
        <f>IFERROR(VLOOKUP(Q22,'Curve-Barrows'!$G$2:$R$185,12,FALSE),"")</f>
        <v/>
      </c>
      <c r="T22" s="28" t="str">
        <f>IFERROR(IF(S23="",S22+(MAX('Кормовой бюджет'!$C$38:$J$38)-S22),S22),"")</f>
        <v/>
      </c>
      <c r="U22" s="30" t="str">
        <f>IF(S22="","",SUM('Curve-Barrows'!Q116:Q122))</f>
        <v/>
      </c>
      <c r="V22" s="30" t="str">
        <f t="shared" si="13"/>
        <v/>
      </c>
      <c r="W22" s="115" t="str">
        <f t="shared" si="22"/>
        <v/>
      </c>
      <c r="X22" s="115" t="str">
        <f t="shared" si="14"/>
        <v/>
      </c>
      <c r="Y22" s="115" t="str">
        <f t="shared" si="15"/>
        <v/>
      </c>
      <c r="Z22" s="30" t="str">
        <f>IF(U22="","",SUM($U$5:$U22))</f>
        <v/>
      </c>
      <c r="AA22" s="115" t="str">
        <f t="shared" si="16"/>
        <v/>
      </c>
      <c r="AB22" s="174"/>
      <c r="AC22" s="216" t="str">
        <f t="shared" si="17"/>
        <v/>
      </c>
      <c r="AD22" s="216">
        <f>MAX('Curve-Gilts'!G116:G122)</f>
        <v>0</v>
      </c>
      <c r="AE22" s="216" t="str">
        <f t="shared" si="3"/>
        <v/>
      </c>
      <c r="AF22" s="216" t="str">
        <f t="shared" si="18"/>
        <v/>
      </c>
      <c r="AG22" s="28" t="str">
        <f>IFERROR(VLOOKUP(AE22,'Curve-Gilts'!$G$2:$R$185,12,FALSE),"")</f>
        <v/>
      </c>
      <c r="AH22" s="28" t="str">
        <f>IFERROR(IF(AG23="",AG22+(MAX('Кормовой бюджет'!$C$43:$J$43)-AG22),AG22),"")</f>
        <v/>
      </c>
      <c r="AI22" s="30" t="str">
        <f>IF(AG22="","",SUM('Curve-Gilts'!Q116:Q122))</f>
        <v/>
      </c>
      <c r="AJ22" s="30" t="str">
        <f t="shared" si="19"/>
        <v/>
      </c>
      <c r="AK22" s="115" t="str">
        <f t="shared" si="23"/>
        <v/>
      </c>
      <c r="AL22" s="115" t="str">
        <f t="shared" si="20"/>
        <v/>
      </c>
      <c r="AM22" s="115" t="str">
        <f t="shared" si="21"/>
        <v/>
      </c>
      <c r="AN22" s="30" t="str">
        <f>IF(AI22="","",SUM($AI$5:$AI22))</f>
        <v/>
      </c>
      <c r="AO22" s="115" t="str">
        <f t="shared" si="24"/>
        <v/>
      </c>
    </row>
    <row r="23" spans="1:41" x14ac:dyDescent="0.25">
      <c r="A23" s="216" t="str">
        <f t="shared" si="5"/>
        <v/>
      </c>
      <c r="B23" s="216">
        <f>MAX('Curve-Mixed'!G123:G129)</f>
        <v>0</v>
      </c>
      <c r="C23" s="216" t="str">
        <f t="shared" si="0"/>
        <v/>
      </c>
      <c r="D23" s="216" t="str">
        <f t="shared" si="6"/>
        <v/>
      </c>
      <c r="E23" s="28" t="str">
        <f>IFERROR(VLOOKUP(C23,'Curve-Mixed'!$G$2:$R$185,12,FALSE),"")</f>
        <v/>
      </c>
      <c r="F23" s="28" t="str">
        <f>IFERROR(IF(E24="",E23+(MAX('Кормовой бюджет'!$C$24:$J$24)-E23),E23),"")</f>
        <v/>
      </c>
      <c r="G23" s="30" t="str">
        <f>IF(E23="","",SUM('Curve-Mixed'!Q123:Q129))</f>
        <v/>
      </c>
      <c r="H23" s="30" t="str">
        <f t="shared" si="7"/>
        <v/>
      </c>
      <c r="I23" s="115" t="str">
        <f t="shared" si="1"/>
        <v/>
      </c>
      <c r="J23" s="115" t="str">
        <f t="shared" si="8"/>
        <v/>
      </c>
      <c r="K23" s="115" t="str">
        <f t="shared" si="9"/>
        <v/>
      </c>
      <c r="L23" s="30" t="str">
        <f>IF(G23="","",SUM($G$5:$G23))</f>
        <v/>
      </c>
      <c r="M23" s="115" t="str">
        <f t="shared" si="10"/>
        <v/>
      </c>
      <c r="N23" s="174"/>
      <c r="O23" s="216" t="str">
        <f t="shared" si="11"/>
        <v/>
      </c>
      <c r="P23" s="216">
        <f>MAX('Curve-Barrows'!G123:G129)</f>
        <v>0</v>
      </c>
      <c r="Q23" s="216" t="str">
        <f t="shared" si="2"/>
        <v/>
      </c>
      <c r="R23" s="216" t="str">
        <f t="shared" si="12"/>
        <v/>
      </c>
      <c r="S23" s="28" t="str">
        <f>IFERROR(VLOOKUP(Q23,'Curve-Barrows'!$G$2:$R$185,12,FALSE),"")</f>
        <v/>
      </c>
      <c r="T23" s="28" t="str">
        <f>IFERROR(IF(S24="",S23+(MAX('Кормовой бюджет'!$C$38:$J$38)-S23),S23),"")</f>
        <v/>
      </c>
      <c r="U23" s="30" t="str">
        <f>IF(S23="","",SUM('Curve-Barrows'!Q123:Q129))</f>
        <v/>
      </c>
      <c r="V23" s="30" t="str">
        <f t="shared" si="13"/>
        <v/>
      </c>
      <c r="W23" s="115" t="str">
        <f t="shared" si="22"/>
        <v/>
      </c>
      <c r="X23" s="115" t="str">
        <f t="shared" si="14"/>
        <v/>
      </c>
      <c r="Y23" s="115" t="str">
        <f t="shared" si="15"/>
        <v/>
      </c>
      <c r="Z23" s="30" t="str">
        <f>IF(U23="","",SUM($U$5:$U23))</f>
        <v/>
      </c>
      <c r="AA23" s="115" t="str">
        <f t="shared" si="16"/>
        <v/>
      </c>
      <c r="AB23" s="174"/>
      <c r="AC23" s="216" t="str">
        <f t="shared" si="17"/>
        <v/>
      </c>
      <c r="AD23" s="216">
        <f>MAX('Curve-Gilts'!G123:G129)</f>
        <v>0</v>
      </c>
      <c r="AE23" s="216" t="str">
        <f t="shared" si="3"/>
        <v/>
      </c>
      <c r="AF23" s="216" t="str">
        <f t="shared" si="18"/>
        <v/>
      </c>
      <c r="AG23" s="28" t="str">
        <f>IFERROR(VLOOKUP(AE23,'Curve-Gilts'!$G$2:$R$185,12,FALSE),"")</f>
        <v/>
      </c>
      <c r="AH23" s="28" t="str">
        <f>IFERROR(IF(AG24="",AG23+(MAX('Кормовой бюджет'!$C$43:$J$43)-AG23),AG23),"")</f>
        <v/>
      </c>
      <c r="AI23" s="30" t="str">
        <f>IF(AG23="","",SUM('Curve-Gilts'!Q123:Q129))</f>
        <v/>
      </c>
      <c r="AJ23" s="30" t="str">
        <f t="shared" si="19"/>
        <v/>
      </c>
      <c r="AK23" s="115" t="str">
        <f t="shared" si="23"/>
        <v/>
      </c>
      <c r="AL23" s="115" t="str">
        <f t="shared" si="20"/>
        <v/>
      </c>
      <c r="AM23" s="115" t="str">
        <f t="shared" si="21"/>
        <v/>
      </c>
      <c r="AN23" s="30" t="str">
        <f>IF(AI23="","",SUM($AI$5:$AI23))</f>
        <v/>
      </c>
      <c r="AO23" s="115" t="str">
        <f t="shared" si="24"/>
        <v/>
      </c>
    </row>
    <row r="24" spans="1:41" x14ac:dyDescent="0.25">
      <c r="A24" s="216" t="str">
        <f t="shared" si="5"/>
        <v/>
      </c>
      <c r="B24" s="216">
        <f>MAX('Curve-Mixed'!G130:G136)</f>
        <v>0</v>
      </c>
      <c r="C24" s="216" t="str">
        <f t="shared" si="0"/>
        <v/>
      </c>
      <c r="D24" s="216" t="str">
        <f t="shared" si="6"/>
        <v/>
      </c>
      <c r="E24" s="28" t="str">
        <f>IFERROR(VLOOKUP(C24,'Curve-Mixed'!$G$2:$R$185,12,FALSE),"")</f>
        <v/>
      </c>
      <c r="F24" s="28" t="str">
        <f>IFERROR(IF(E25="",E24+(MAX('Кормовой бюджет'!$C$24:$J$24)-E24),E24),"")</f>
        <v/>
      </c>
      <c r="G24" s="30" t="str">
        <f>IF(E24="","",SUM('Curve-Mixed'!Q130:Q136))</f>
        <v/>
      </c>
      <c r="H24" s="30" t="str">
        <f t="shared" si="7"/>
        <v/>
      </c>
      <c r="I24" s="115" t="str">
        <f t="shared" si="1"/>
        <v/>
      </c>
      <c r="J24" s="115" t="str">
        <f t="shared" si="8"/>
        <v/>
      </c>
      <c r="K24" s="115" t="str">
        <f t="shared" si="9"/>
        <v/>
      </c>
      <c r="L24" s="30" t="str">
        <f>IF(G24="","",SUM($G$5:$G24))</f>
        <v/>
      </c>
      <c r="M24" s="115" t="str">
        <f t="shared" si="10"/>
        <v/>
      </c>
      <c r="N24" s="174"/>
      <c r="O24" s="216" t="str">
        <f t="shared" si="11"/>
        <v/>
      </c>
      <c r="P24" s="216">
        <f>MAX('Curve-Barrows'!G130:G136)</f>
        <v>0</v>
      </c>
      <c r="Q24" s="216" t="str">
        <f t="shared" si="2"/>
        <v/>
      </c>
      <c r="R24" s="216" t="str">
        <f t="shared" si="12"/>
        <v/>
      </c>
      <c r="S24" s="28" t="str">
        <f>IFERROR(VLOOKUP(Q24,'Curve-Barrows'!$G$2:$R$185,12,FALSE),"")</f>
        <v/>
      </c>
      <c r="T24" s="28" t="str">
        <f>IFERROR(IF(S25="",S24+(MAX('Кормовой бюджет'!$C$38:$J$38)-S24),S24),"")</f>
        <v/>
      </c>
      <c r="U24" s="30" t="str">
        <f>IF(S24="","",SUM('Curve-Barrows'!Q130:Q136))</f>
        <v/>
      </c>
      <c r="V24" s="30" t="str">
        <f t="shared" si="13"/>
        <v/>
      </c>
      <c r="W24" s="115" t="str">
        <f t="shared" si="22"/>
        <v/>
      </c>
      <c r="X24" s="115" t="str">
        <f t="shared" si="14"/>
        <v/>
      </c>
      <c r="Y24" s="115" t="str">
        <f t="shared" ref="Y24:Y31" si="25">IF(S24="","",(S24-$S$5)/(Q24-$Q$5))</f>
        <v/>
      </c>
      <c r="Z24" s="30" t="str">
        <f>IF(U24="","",SUM($U$5:$U24))</f>
        <v/>
      </c>
      <c r="AA24" s="115" t="str">
        <f t="shared" si="16"/>
        <v/>
      </c>
      <c r="AB24" s="174"/>
      <c r="AC24" s="216" t="str">
        <f t="shared" si="17"/>
        <v/>
      </c>
      <c r="AD24" s="216">
        <f>MAX('Curve-Gilts'!G130:G136)</f>
        <v>0</v>
      </c>
      <c r="AE24" s="216" t="str">
        <f t="shared" si="3"/>
        <v/>
      </c>
      <c r="AF24" s="216" t="str">
        <f t="shared" si="18"/>
        <v/>
      </c>
      <c r="AG24" s="28" t="str">
        <f>IFERROR(VLOOKUP(AE24,'Curve-Gilts'!$G$2:$R$185,12,FALSE),"")</f>
        <v/>
      </c>
      <c r="AH24" s="28" t="str">
        <f>IFERROR(IF(AG25="",AG24+(MAX('Кормовой бюджет'!$C$43:$J$43)-AG24),AG24),"")</f>
        <v/>
      </c>
      <c r="AI24" s="30" t="str">
        <f>IF(AG24="","",SUM('Curve-Gilts'!Q130:Q136))</f>
        <v/>
      </c>
      <c r="AJ24" s="30" t="str">
        <f t="shared" si="19"/>
        <v/>
      </c>
      <c r="AK24" s="115" t="str">
        <f t="shared" si="23"/>
        <v/>
      </c>
      <c r="AL24" s="115" t="str">
        <f t="shared" si="20"/>
        <v/>
      </c>
      <c r="AM24" s="115" t="str">
        <f t="shared" ref="AM24:AM31" si="26">IF(AG24="","",(AG24-$AG$5)/(AE24-$AE$5))</f>
        <v/>
      </c>
      <c r="AN24" s="30" t="str">
        <f>IF(AI24="","",SUM($AI$5:$AI24))</f>
        <v/>
      </c>
      <c r="AO24" s="115" t="str">
        <f t="shared" si="24"/>
        <v/>
      </c>
    </row>
    <row r="25" spans="1:41" x14ac:dyDescent="0.25">
      <c r="A25" s="216" t="str">
        <f t="shared" si="5"/>
        <v/>
      </c>
      <c r="B25" s="216">
        <f>MAX('Curve-Mixed'!G137:G143)</f>
        <v>0</v>
      </c>
      <c r="C25" s="216" t="str">
        <f t="shared" si="0"/>
        <v/>
      </c>
      <c r="D25" s="216" t="str">
        <f t="shared" si="6"/>
        <v/>
      </c>
      <c r="E25" s="28" t="str">
        <f>IFERROR(VLOOKUP(C25,'Curve-Mixed'!$G$2:$R$185,12,FALSE),"")</f>
        <v/>
      </c>
      <c r="F25" s="28" t="str">
        <f>IFERROR(IF(E26="",E25+(MAX('Кормовой бюджет'!$C$24:$J$24)-E25),E25),"")</f>
        <v/>
      </c>
      <c r="G25" s="30" t="str">
        <f>IF(E25="","",SUM('Curve-Mixed'!Q137:Q143))</f>
        <v/>
      </c>
      <c r="H25" s="30" t="str">
        <f t="shared" si="7"/>
        <v/>
      </c>
      <c r="I25" s="115" t="str">
        <f t="shared" si="1"/>
        <v/>
      </c>
      <c r="J25" s="115" t="str">
        <f t="shared" si="8"/>
        <v/>
      </c>
      <c r="K25" s="115" t="str">
        <f t="shared" si="9"/>
        <v/>
      </c>
      <c r="L25" s="30" t="str">
        <f>IF(G25="","",SUM($G$5:$G25))</f>
        <v/>
      </c>
      <c r="M25" s="115" t="str">
        <f t="shared" si="10"/>
        <v/>
      </c>
      <c r="N25" s="174"/>
      <c r="O25" s="216" t="str">
        <f t="shared" si="11"/>
        <v/>
      </c>
      <c r="P25" s="216">
        <f>MAX('Curve-Barrows'!G137:G143)</f>
        <v>0</v>
      </c>
      <c r="Q25" s="216" t="str">
        <f t="shared" si="2"/>
        <v/>
      </c>
      <c r="R25" s="216" t="str">
        <f t="shared" si="12"/>
        <v/>
      </c>
      <c r="S25" s="28" t="str">
        <f>IFERROR(VLOOKUP(Q25,'Curve-Barrows'!$G$2:$R$185,12,FALSE),"")</f>
        <v/>
      </c>
      <c r="T25" s="28" t="str">
        <f>IFERROR(IF(S26="",S25+(MAX('Кормовой бюджет'!$C$38:$J$38)-S25),S25),"")</f>
        <v/>
      </c>
      <c r="U25" s="30" t="str">
        <f>IF(S25="","",SUM('Curve-Barrows'!Q137:Q143))</f>
        <v/>
      </c>
      <c r="V25" s="30" t="str">
        <f t="shared" si="13"/>
        <v/>
      </c>
      <c r="W25" s="115" t="str">
        <f t="shared" si="22"/>
        <v/>
      </c>
      <c r="X25" s="115" t="str">
        <f t="shared" si="14"/>
        <v/>
      </c>
      <c r="Y25" s="115" t="str">
        <f t="shared" si="25"/>
        <v/>
      </c>
      <c r="Z25" s="30" t="str">
        <f>IF(U25="","",SUM($U$5:$U25))</f>
        <v/>
      </c>
      <c r="AA25" s="115" t="str">
        <f t="shared" si="16"/>
        <v/>
      </c>
      <c r="AB25" s="174"/>
      <c r="AC25" s="216" t="str">
        <f t="shared" si="17"/>
        <v/>
      </c>
      <c r="AD25" s="216">
        <f>MAX('Curve-Gilts'!G137:G143)</f>
        <v>0</v>
      </c>
      <c r="AE25" s="216" t="str">
        <f t="shared" si="3"/>
        <v/>
      </c>
      <c r="AF25" s="216" t="str">
        <f t="shared" si="18"/>
        <v/>
      </c>
      <c r="AG25" s="28" t="str">
        <f>IFERROR(VLOOKUP(AE25,'Curve-Gilts'!$G$2:$R$185,12,FALSE),"")</f>
        <v/>
      </c>
      <c r="AH25" s="28" t="str">
        <f>IFERROR(IF(AG26="",AG25+(MAX('Кормовой бюджет'!$C$43:$J$43)-AG25),AG25),"")</f>
        <v/>
      </c>
      <c r="AI25" s="30" t="str">
        <f>IF(AG25="","",SUM('Curve-Gilts'!Q137:Q143))</f>
        <v/>
      </c>
      <c r="AJ25" s="30" t="str">
        <f t="shared" si="19"/>
        <v/>
      </c>
      <c r="AK25" s="115" t="str">
        <f t="shared" si="23"/>
        <v/>
      </c>
      <c r="AL25" s="115" t="str">
        <f t="shared" si="20"/>
        <v/>
      </c>
      <c r="AM25" s="115" t="str">
        <f t="shared" si="26"/>
        <v/>
      </c>
      <c r="AN25" s="30" t="str">
        <f>IF(AI25="","",SUM($AI$5:$AI25))</f>
        <v/>
      </c>
      <c r="AO25" s="115" t="str">
        <f t="shared" si="24"/>
        <v/>
      </c>
    </row>
    <row r="26" spans="1:41" x14ac:dyDescent="0.25">
      <c r="A26" s="216" t="str">
        <f t="shared" si="5"/>
        <v/>
      </c>
      <c r="B26" s="216">
        <f>MAX('Curve-Mixed'!G144:G150)</f>
        <v>0</v>
      </c>
      <c r="C26" s="216" t="str">
        <f t="shared" si="0"/>
        <v/>
      </c>
      <c r="D26" s="151" t="str">
        <f t="shared" si="6"/>
        <v/>
      </c>
      <c r="E26" s="28" t="str">
        <f>IFERROR(VLOOKUP(C26,'Curve-Mixed'!$G$2:$R$185,12,FALSE),"")</f>
        <v/>
      </c>
      <c r="F26" s="28" t="str">
        <f>IFERROR(IF(E27="",E26+(MAX('Кормовой бюджет'!$C$24:$J$24)-E26),E26),"")</f>
        <v/>
      </c>
      <c r="G26" s="155" t="str">
        <f>IF(E26="","",SUM('Curve-Mixed'!Q144:Q150))</f>
        <v/>
      </c>
      <c r="H26" s="30" t="str">
        <f t="shared" si="7"/>
        <v/>
      </c>
      <c r="I26" s="115" t="str">
        <f t="shared" si="1"/>
        <v/>
      </c>
      <c r="J26" s="115" t="str">
        <f t="shared" si="8"/>
        <v/>
      </c>
      <c r="K26" s="115" t="str">
        <f t="shared" si="9"/>
        <v/>
      </c>
      <c r="L26" s="30" t="str">
        <f>IF(G26="","",SUM($G$5:$G26))</f>
        <v/>
      </c>
      <c r="M26" s="115" t="str">
        <f t="shared" si="10"/>
        <v/>
      </c>
      <c r="N26" s="174"/>
      <c r="O26" s="216" t="str">
        <f t="shared" si="11"/>
        <v/>
      </c>
      <c r="P26" s="216">
        <f>MAX('Curve-Barrows'!G144:G150)</f>
        <v>0</v>
      </c>
      <c r="Q26" s="216" t="str">
        <f t="shared" si="2"/>
        <v/>
      </c>
      <c r="R26" s="216" t="str">
        <f t="shared" si="12"/>
        <v/>
      </c>
      <c r="S26" s="28" t="str">
        <f>IFERROR(VLOOKUP(Q26,'Curve-Barrows'!$G$2:$R$185,12,FALSE),"")</f>
        <v/>
      </c>
      <c r="T26" s="28" t="str">
        <f>IFERROR(IF(S27="",S26+(MAX('Кормовой бюджет'!$C$38:$J$38)-S26),S26),"")</f>
        <v/>
      </c>
      <c r="U26" s="30" t="str">
        <f>IF(S26="","",SUM('Curve-Barrows'!Q144:Q150))</f>
        <v/>
      </c>
      <c r="V26" s="30" t="str">
        <f t="shared" si="13"/>
        <v/>
      </c>
      <c r="W26" s="115" t="str">
        <f t="shared" si="22"/>
        <v/>
      </c>
      <c r="X26" s="115" t="str">
        <f t="shared" si="14"/>
        <v/>
      </c>
      <c r="Y26" s="115" t="str">
        <f t="shared" si="25"/>
        <v/>
      </c>
      <c r="Z26" s="30" t="str">
        <f>IF(U26="","",SUM($U$5:$U26))</f>
        <v/>
      </c>
      <c r="AA26" s="115" t="str">
        <f t="shared" si="16"/>
        <v/>
      </c>
      <c r="AB26" s="174"/>
      <c r="AC26" s="216" t="str">
        <f t="shared" si="17"/>
        <v/>
      </c>
      <c r="AD26" s="216">
        <f>MAX('Curve-Gilts'!G144:G150)</f>
        <v>0</v>
      </c>
      <c r="AE26" s="216" t="str">
        <f t="shared" si="3"/>
        <v/>
      </c>
      <c r="AF26" s="216" t="str">
        <f t="shared" si="18"/>
        <v/>
      </c>
      <c r="AG26" s="28" t="str">
        <f>IFERROR(VLOOKUP(AE26,'Curve-Gilts'!$G$2:$R$185,12,FALSE),"")</f>
        <v/>
      </c>
      <c r="AH26" s="28" t="str">
        <f>IFERROR(IF(AG27="",AG26+(MAX('Кормовой бюджет'!$C$43:$J$43)-AG26),AG26),"")</f>
        <v/>
      </c>
      <c r="AI26" s="30" t="str">
        <f>IF(AG26="","",SUM('Curve-Gilts'!Q144:Q150))</f>
        <v/>
      </c>
      <c r="AJ26" s="30" t="str">
        <f t="shared" si="19"/>
        <v/>
      </c>
      <c r="AK26" s="115" t="str">
        <f t="shared" si="23"/>
        <v/>
      </c>
      <c r="AL26" s="115" t="str">
        <f t="shared" si="20"/>
        <v/>
      </c>
      <c r="AM26" s="115" t="str">
        <f t="shared" si="26"/>
        <v/>
      </c>
      <c r="AN26" s="30" t="str">
        <f>IF(AI26="","",SUM($AI$5:$AI26))</f>
        <v/>
      </c>
      <c r="AO26" s="115" t="str">
        <f t="shared" si="24"/>
        <v/>
      </c>
    </row>
    <row r="27" spans="1:41" x14ac:dyDescent="0.25">
      <c r="A27" s="216" t="str">
        <f t="shared" si="5"/>
        <v/>
      </c>
      <c r="B27" s="216">
        <f>MAX('Curve-Mixed'!G151:G157)</f>
        <v>0</v>
      </c>
      <c r="C27" s="216" t="str">
        <f t="shared" si="0"/>
        <v/>
      </c>
      <c r="D27" s="151" t="str">
        <f t="shared" si="6"/>
        <v/>
      </c>
      <c r="E27" s="28" t="str">
        <f>IFERROR(VLOOKUP(C27,'Curve-Mixed'!$G$2:$R$185,12,FALSE),"")</f>
        <v/>
      </c>
      <c r="F27" s="28" t="str">
        <f>IFERROR(IF(E28="",E27+(MAX('Кормовой бюджет'!$C$24:$J$24)-E27),E27),"")</f>
        <v/>
      </c>
      <c r="G27" s="155" t="str">
        <f>IF(E27="","",SUM('Curve-Mixed'!Q151:Q157))</f>
        <v/>
      </c>
      <c r="H27" s="30" t="str">
        <f t="shared" si="7"/>
        <v/>
      </c>
      <c r="I27" s="115" t="str">
        <f t="shared" si="1"/>
        <v/>
      </c>
      <c r="J27" s="115" t="str">
        <f t="shared" si="8"/>
        <v/>
      </c>
      <c r="K27" s="115" t="str">
        <f t="shared" si="9"/>
        <v/>
      </c>
      <c r="L27" s="30" t="str">
        <f>IF(G27="","",SUM($G$5:$G27))</f>
        <v/>
      </c>
      <c r="M27" s="115" t="str">
        <f t="shared" si="10"/>
        <v/>
      </c>
      <c r="N27" s="174"/>
      <c r="O27" s="216" t="str">
        <f t="shared" si="11"/>
        <v/>
      </c>
      <c r="P27" s="216">
        <f>MAX('Curve-Barrows'!G151:G157)</f>
        <v>0</v>
      </c>
      <c r="Q27" s="216" t="str">
        <f t="shared" si="2"/>
        <v/>
      </c>
      <c r="R27" s="216" t="str">
        <f t="shared" si="12"/>
        <v/>
      </c>
      <c r="S27" s="28" t="str">
        <f>IFERROR(VLOOKUP(Q27,'Curve-Barrows'!$G$2:$R$185,12,FALSE),"")</f>
        <v/>
      </c>
      <c r="T27" s="28" t="str">
        <f>IFERROR(IF(S28="",S27+(MAX('Кормовой бюджет'!$C$38:$J$38)-S27),S27),"")</f>
        <v/>
      </c>
      <c r="U27" s="30" t="str">
        <f>IF(S27="","",SUM('Curve-Barrows'!Q151:Q157))</f>
        <v/>
      </c>
      <c r="V27" s="30" t="str">
        <f t="shared" si="13"/>
        <v/>
      </c>
      <c r="W27" s="115" t="str">
        <f t="shared" si="22"/>
        <v/>
      </c>
      <c r="X27" s="115" t="str">
        <f t="shared" si="14"/>
        <v/>
      </c>
      <c r="Y27" s="115" t="str">
        <f t="shared" si="25"/>
        <v/>
      </c>
      <c r="Z27" s="30" t="str">
        <f>IF(U27="","",SUM($U$5:$U27))</f>
        <v/>
      </c>
      <c r="AA27" s="115" t="str">
        <f t="shared" si="16"/>
        <v/>
      </c>
      <c r="AB27" s="174"/>
      <c r="AC27" s="216" t="str">
        <f t="shared" si="17"/>
        <v/>
      </c>
      <c r="AD27" s="216">
        <f>MAX('Curve-Gilts'!G151:G157)</f>
        <v>0</v>
      </c>
      <c r="AE27" s="216" t="str">
        <f t="shared" si="3"/>
        <v/>
      </c>
      <c r="AF27" s="216" t="str">
        <f t="shared" si="18"/>
        <v/>
      </c>
      <c r="AG27" s="28" t="str">
        <f>IFERROR(VLOOKUP(AE27,'Curve-Gilts'!$G$2:$R$185,12,FALSE),"")</f>
        <v/>
      </c>
      <c r="AH27" s="28" t="str">
        <f>IFERROR(IF(AG28="",AG27+(MAX('Кормовой бюджет'!$C$43:$J$43)-AG27),AG27),"")</f>
        <v/>
      </c>
      <c r="AI27" s="30" t="str">
        <f>IF(AG27="","",SUM('Curve-Gilts'!Q151:Q157))</f>
        <v/>
      </c>
      <c r="AJ27" s="30" t="str">
        <f t="shared" si="19"/>
        <v/>
      </c>
      <c r="AK27" s="115" t="str">
        <f t="shared" si="23"/>
        <v/>
      </c>
      <c r="AL27" s="115" t="str">
        <f t="shared" si="20"/>
        <v/>
      </c>
      <c r="AM27" s="115" t="str">
        <f>IF(AG27="","",(AG27-$AG$5)/(AE27-$AE$5))</f>
        <v/>
      </c>
      <c r="AN27" s="30" t="str">
        <f>IF(AI27="","",SUM($AI$5:$AI27))</f>
        <v/>
      </c>
      <c r="AO27" s="115" t="str">
        <f t="shared" si="24"/>
        <v/>
      </c>
    </row>
    <row r="28" spans="1:41" x14ac:dyDescent="0.25">
      <c r="A28" s="216" t="str">
        <f t="shared" si="5"/>
        <v/>
      </c>
      <c r="B28" s="216">
        <f>MAX('Curve-Mixed'!G158:G164)</f>
        <v>0</v>
      </c>
      <c r="C28" s="216" t="str">
        <f t="shared" si="0"/>
        <v/>
      </c>
      <c r="D28" s="151" t="str">
        <f t="shared" si="6"/>
        <v/>
      </c>
      <c r="E28" s="28" t="str">
        <f>IFERROR(VLOOKUP(C28,'Curve-Mixed'!$G$2:$R$185,12,FALSE),"")</f>
        <v/>
      </c>
      <c r="F28" s="28" t="str">
        <f>IFERROR(IF(E29="",E28+(MAX('Кормовой бюджет'!$C$24:$J$24)-E28),E28),"")</f>
        <v/>
      </c>
      <c r="G28" s="155" t="str">
        <f>IF(E28="","",SUM('Curve-Mixed'!Q158:Q164))</f>
        <v/>
      </c>
      <c r="H28" s="30" t="str">
        <f t="shared" si="7"/>
        <v/>
      </c>
      <c r="I28" s="115" t="str">
        <f t="shared" si="1"/>
        <v/>
      </c>
      <c r="J28" s="115" t="str">
        <f t="shared" si="8"/>
        <v/>
      </c>
      <c r="K28" s="115" t="str">
        <f t="shared" si="9"/>
        <v/>
      </c>
      <c r="L28" s="30" t="str">
        <f>IF(G28="","",SUM($G$5:$G28))</f>
        <v/>
      </c>
      <c r="M28" s="115" t="str">
        <f t="shared" si="10"/>
        <v/>
      </c>
      <c r="N28" s="174"/>
      <c r="O28" s="216" t="str">
        <f t="shared" si="11"/>
        <v/>
      </c>
      <c r="P28" s="216">
        <f>MAX('Curve-Barrows'!G158:G164)</f>
        <v>0</v>
      </c>
      <c r="Q28" s="216" t="str">
        <f t="shared" si="2"/>
        <v/>
      </c>
      <c r="R28" s="216" t="str">
        <f t="shared" si="12"/>
        <v/>
      </c>
      <c r="S28" s="28" t="str">
        <f>IFERROR(VLOOKUP(Q28,'Curve-Barrows'!$G$2:$R$185,12,FALSE),"")</f>
        <v/>
      </c>
      <c r="T28" s="28" t="str">
        <f>IFERROR(IF(S29="",S28+(MAX('Кормовой бюджет'!$C$38:$J$38)-S28),S28),"")</f>
        <v/>
      </c>
      <c r="U28" s="155" t="str">
        <f>IF(S28="","",SUM('Curve-Barrows'!Q158:Q164))</f>
        <v/>
      </c>
      <c r="V28" s="30" t="str">
        <f t="shared" si="13"/>
        <v/>
      </c>
      <c r="W28" s="157" t="str">
        <f t="shared" si="22"/>
        <v/>
      </c>
      <c r="X28" s="115" t="str">
        <f t="shared" si="14"/>
        <v/>
      </c>
      <c r="Y28" s="115" t="str">
        <f t="shared" si="25"/>
        <v/>
      </c>
      <c r="Z28" s="155" t="str">
        <f>IF(U28="","",SUM($U$5:$U28))</f>
        <v/>
      </c>
      <c r="AA28" s="115" t="str">
        <f t="shared" si="16"/>
        <v/>
      </c>
      <c r="AB28" s="174"/>
      <c r="AC28" s="216" t="str">
        <f t="shared" si="17"/>
        <v/>
      </c>
      <c r="AD28" s="151">
        <f>MAX('Curve-Gilts'!G158:G164)</f>
        <v>0</v>
      </c>
      <c r="AE28" s="151" t="str">
        <f t="shared" si="3"/>
        <v/>
      </c>
      <c r="AF28" s="151" t="str">
        <f t="shared" si="18"/>
        <v/>
      </c>
      <c r="AG28" s="154" t="str">
        <f>IFERROR(VLOOKUP(AE28,'Curve-Gilts'!$G$2:$R$185,12,FALSE),"")</f>
        <v/>
      </c>
      <c r="AH28" s="28" t="str">
        <f>IFERROR(IF(AG29="",AG28+(MAX('Кормовой бюджет'!$C$43:$J$43)-AG28),AG28),"")</f>
        <v/>
      </c>
      <c r="AI28" s="155" t="str">
        <f>IF(AG28="","",SUM('Curve-Gilts'!Q158:Q164))</f>
        <v/>
      </c>
      <c r="AJ28" s="30" t="str">
        <f t="shared" si="19"/>
        <v/>
      </c>
      <c r="AK28" s="157" t="str">
        <f t="shared" si="23"/>
        <v/>
      </c>
      <c r="AL28" s="115" t="str">
        <f t="shared" si="20"/>
        <v/>
      </c>
      <c r="AM28" s="115" t="str">
        <f t="shared" si="26"/>
        <v/>
      </c>
      <c r="AN28" s="30" t="str">
        <f>IF(AI28="","",SUM($AI$5:$AI28))</f>
        <v/>
      </c>
      <c r="AO28" s="115" t="str">
        <f t="shared" si="24"/>
        <v/>
      </c>
    </row>
    <row r="29" spans="1:41" x14ac:dyDescent="0.25">
      <c r="A29" s="216" t="str">
        <f t="shared" si="5"/>
        <v/>
      </c>
      <c r="B29" s="216">
        <f>MAX('Curve-Mixed'!G165:G171)</f>
        <v>0</v>
      </c>
      <c r="C29" s="216" t="str">
        <f t="shared" si="0"/>
        <v/>
      </c>
      <c r="D29" s="151" t="str">
        <f t="shared" si="6"/>
        <v/>
      </c>
      <c r="E29" s="28" t="str">
        <f>IFERROR(VLOOKUP(C29,'Curve-Mixed'!$G$2:$R$185,12,FALSE),"")</f>
        <v/>
      </c>
      <c r="F29" s="28" t="str">
        <f>IFERROR(IF(E30="",E29+(MAX('Кормовой бюджет'!$C$24:$J$24)-E29),E29),"")</f>
        <v/>
      </c>
      <c r="G29" s="155" t="str">
        <f>IF(E29="","",SUM('Curve-Mixed'!Q165:Q171))</f>
        <v/>
      </c>
      <c r="H29" s="30" t="str">
        <f t="shared" si="7"/>
        <v/>
      </c>
      <c r="I29" s="115" t="str">
        <f t="shared" si="1"/>
        <v/>
      </c>
      <c r="J29" s="115" t="str">
        <f t="shared" si="8"/>
        <v/>
      </c>
      <c r="K29" s="115" t="str">
        <f t="shared" si="9"/>
        <v/>
      </c>
      <c r="L29" s="30" t="str">
        <f>IF(G29="","",SUM($G$5:$G29))</f>
        <v/>
      </c>
      <c r="M29" s="115" t="str">
        <f t="shared" si="10"/>
        <v/>
      </c>
      <c r="N29" s="174"/>
      <c r="O29" s="216" t="str">
        <f t="shared" si="11"/>
        <v/>
      </c>
      <c r="P29" s="216">
        <f>MAX('Curve-Barrows'!G165:G171)</f>
        <v>0</v>
      </c>
      <c r="Q29" s="216" t="str">
        <f t="shared" si="2"/>
        <v/>
      </c>
      <c r="R29" s="216" t="str">
        <f t="shared" si="12"/>
        <v/>
      </c>
      <c r="S29" s="28" t="str">
        <f>IFERROR(VLOOKUP(Q29,'Curve-Barrows'!$G$2:$R$185,12,FALSE),"")</f>
        <v/>
      </c>
      <c r="T29" s="28" t="str">
        <f>IFERROR(IF(S30="",S29+(MAX('Кормовой бюджет'!$C$38:$J$38)-S29),S29),"")</f>
        <v/>
      </c>
      <c r="U29" s="155" t="str">
        <f>IF(S29="","",SUM('Curve-Barrows'!Q165:Q171))</f>
        <v/>
      </c>
      <c r="V29" s="30" t="str">
        <f t="shared" si="13"/>
        <v/>
      </c>
      <c r="W29" s="157" t="str">
        <f t="shared" si="22"/>
        <v/>
      </c>
      <c r="X29" s="115" t="str">
        <f t="shared" si="14"/>
        <v/>
      </c>
      <c r="Y29" s="115" t="str">
        <f t="shared" si="25"/>
        <v/>
      </c>
      <c r="Z29" s="155" t="str">
        <f>IF(U29="","",SUM($U$5:$U29))</f>
        <v/>
      </c>
      <c r="AA29" s="115" t="str">
        <f t="shared" si="16"/>
        <v/>
      </c>
      <c r="AB29" s="174"/>
      <c r="AC29" s="216" t="str">
        <f t="shared" si="17"/>
        <v/>
      </c>
      <c r="AD29" s="151">
        <f>MAX('Curve-Gilts'!G165:G171)</f>
        <v>0</v>
      </c>
      <c r="AE29" s="151" t="str">
        <f t="shared" si="3"/>
        <v/>
      </c>
      <c r="AF29" s="151" t="str">
        <f t="shared" si="18"/>
        <v/>
      </c>
      <c r="AG29" s="154" t="str">
        <f>IFERROR(VLOOKUP(AE29,'Curve-Gilts'!$G$2:$R$185,12,FALSE),"")</f>
        <v/>
      </c>
      <c r="AH29" s="28" t="str">
        <f>IFERROR(IF(AG30="",AG29+(MAX('Кормовой бюджет'!$C$43:$J$43)-AG29),AG29),"")</f>
        <v/>
      </c>
      <c r="AI29" s="155" t="str">
        <f>IF(AG29="","",SUM('Curve-Gilts'!Q165:Q171))</f>
        <v/>
      </c>
      <c r="AJ29" s="30" t="str">
        <f t="shared" si="19"/>
        <v/>
      </c>
      <c r="AK29" s="157" t="str">
        <f t="shared" si="23"/>
        <v/>
      </c>
      <c r="AL29" s="115" t="str">
        <f t="shared" si="20"/>
        <v/>
      </c>
      <c r="AM29" s="115" t="str">
        <f t="shared" si="26"/>
        <v/>
      </c>
      <c r="AN29" s="30" t="str">
        <f>IF(AI29="","",SUM($AI$5:$AI29))</f>
        <v/>
      </c>
      <c r="AO29" s="115" t="str">
        <f t="shared" si="24"/>
        <v/>
      </c>
    </row>
    <row r="30" spans="1:41" x14ac:dyDescent="0.25">
      <c r="A30" s="216" t="str">
        <f t="shared" si="5"/>
        <v/>
      </c>
      <c r="B30" s="216">
        <f>MAX('Curve-Mixed'!G172:G178)</f>
        <v>0</v>
      </c>
      <c r="C30" s="216" t="str">
        <f t="shared" si="0"/>
        <v/>
      </c>
      <c r="D30" s="151" t="str">
        <f>IF(E30="","",D29+1)</f>
        <v/>
      </c>
      <c r="E30" s="28" t="str">
        <f>IFERROR(VLOOKUP(C30,'Curve-Mixed'!$G$2:$R$185,12,FALSE),"")</f>
        <v/>
      </c>
      <c r="F30" s="28" t="str">
        <f>IFERROR(IF(E31="",E30+(MAX('Кормовой бюджет'!$C$24:$J$24)-E30),E30),"")</f>
        <v/>
      </c>
      <c r="G30" s="155" t="str">
        <f>IF(E30="","",SUM('Curve-Mixed'!Q172:Q178))</f>
        <v/>
      </c>
      <c r="H30" s="30" t="str">
        <f t="shared" si="7"/>
        <v/>
      </c>
      <c r="I30" s="115" t="str">
        <f t="shared" si="1"/>
        <v/>
      </c>
      <c r="J30" s="115" t="str">
        <f t="shared" si="8"/>
        <v/>
      </c>
      <c r="K30" s="115" t="str">
        <f t="shared" si="9"/>
        <v/>
      </c>
      <c r="L30" s="30" t="str">
        <f>IF(G30="","",SUM($G$5:$G30))</f>
        <v/>
      </c>
      <c r="M30" s="115" t="str">
        <f t="shared" si="10"/>
        <v/>
      </c>
      <c r="N30" s="174"/>
      <c r="O30" s="216" t="str">
        <f t="shared" si="11"/>
        <v/>
      </c>
      <c r="P30" s="216">
        <f>MAX('Curve-Barrows'!G172:G178)</f>
        <v>0</v>
      </c>
      <c r="Q30" s="216" t="str">
        <f t="shared" si="2"/>
        <v/>
      </c>
      <c r="R30" s="216" t="str">
        <f t="shared" si="12"/>
        <v/>
      </c>
      <c r="S30" s="28" t="str">
        <f>IFERROR(VLOOKUP(Q30,'Curve-Barrows'!$G$2:$R$185,12,FALSE),"")</f>
        <v/>
      </c>
      <c r="T30" s="28" t="str">
        <f>IFERROR(IF(S31="",S30+(MAX('Кормовой бюджет'!$C$38:$J$38)-S30),S30),"")</f>
        <v/>
      </c>
      <c r="U30" s="155" t="str">
        <f>IF(S30="","",SUM('Curve-Barrows'!Q172:Q178))</f>
        <v/>
      </c>
      <c r="V30" s="30" t="str">
        <f t="shared" si="13"/>
        <v/>
      </c>
      <c r="W30" s="157" t="str">
        <f>IF(R30="","",((S30/7)/U30))</f>
        <v/>
      </c>
      <c r="X30" s="115" t="str">
        <f t="shared" si="14"/>
        <v/>
      </c>
      <c r="Y30" s="115" t="str">
        <f t="shared" si="25"/>
        <v/>
      </c>
      <c r="Z30" s="155" t="str">
        <f>IF(U30="","",SUM($U$5:$U30))</f>
        <v/>
      </c>
      <c r="AA30" s="115" t="str">
        <f t="shared" si="16"/>
        <v/>
      </c>
      <c r="AB30" s="174"/>
      <c r="AC30" s="216" t="str">
        <f t="shared" si="17"/>
        <v/>
      </c>
      <c r="AD30" s="151">
        <f>MAX('Curve-Gilts'!G172:G178)</f>
        <v>0</v>
      </c>
      <c r="AE30" s="151" t="str">
        <f t="shared" si="3"/>
        <v/>
      </c>
      <c r="AF30" s="151" t="str">
        <f t="shared" si="18"/>
        <v/>
      </c>
      <c r="AG30" s="154" t="str">
        <f>IFERROR(VLOOKUP(AE30,'Curve-Gilts'!$G$2:$R$185,12,FALSE),"")</f>
        <v/>
      </c>
      <c r="AH30" s="28" t="str">
        <f>IFERROR(IF(AG31="",AG30+(MAX('Кормовой бюджет'!$C$43:$J$43)-AG30),AG30),"")</f>
        <v/>
      </c>
      <c r="AI30" s="155" t="str">
        <f>IF(AG30="","",SUM('Curve-Gilts'!Q172:Q178))</f>
        <v/>
      </c>
      <c r="AJ30" s="30" t="str">
        <f t="shared" si="19"/>
        <v/>
      </c>
      <c r="AK30" s="157" t="str">
        <f t="shared" si="23"/>
        <v/>
      </c>
      <c r="AL30" s="115" t="str">
        <f t="shared" si="20"/>
        <v/>
      </c>
      <c r="AM30" s="115" t="str">
        <f t="shared" si="26"/>
        <v/>
      </c>
      <c r="AN30" s="30" t="str">
        <f>IF(AI30="","",SUM($AI$5:$AI30))</f>
        <v/>
      </c>
      <c r="AO30" s="115" t="str">
        <f>IF(AG30="","",AN30/(AM30*7*AF29))</f>
        <v/>
      </c>
    </row>
    <row r="31" spans="1:41" s="170" customFormat="1" ht="15.75" thickBot="1" x14ac:dyDescent="0.3">
      <c r="A31" s="164" t="str">
        <f t="shared" si="5"/>
        <v/>
      </c>
      <c r="B31" s="164">
        <f>MAX('Curve-Mixed'!G179:G185)</f>
        <v>0</v>
      </c>
      <c r="C31" s="164" t="str">
        <f t="shared" si="0"/>
        <v/>
      </c>
      <c r="D31" s="165" t="str">
        <f t="shared" si="6"/>
        <v/>
      </c>
      <c r="E31" s="166" t="str">
        <f>IFERROR(VLOOKUP(C31,'Curve-Mixed'!$G$2:$R$185,12,FALSE),"")</f>
        <v/>
      </c>
      <c r="F31" s="166" t="str">
        <f>IFERROR(IF(E32="",E31+(MAX('Кормовой бюджет'!$C$24:$J$24)-E31),E31),"")</f>
        <v/>
      </c>
      <c r="G31" s="167" t="str">
        <f>IF(E31="","",SUM('Curve-Mixed'!Q179:Q185))</f>
        <v/>
      </c>
      <c r="H31" s="171" t="str">
        <f t="shared" si="7"/>
        <v/>
      </c>
      <c r="I31" s="168" t="str">
        <f>IF(E31="","",(E31-E30)/(#REF!-B30))</f>
        <v/>
      </c>
      <c r="J31" s="169" t="str">
        <f t="shared" si="8"/>
        <v/>
      </c>
      <c r="K31" s="168" t="str">
        <f>IF(E31="","",(E31-$E$5)/(#REF!-$B$5))</f>
        <v/>
      </c>
      <c r="L31" s="167" t="str">
        <f>IF(G31="","",SUM($G$5:$G31))</f>
        <v/>
      </c>
      <c r="M31" s="169" t="str">
        <f t="shared" si="10"/>
        <v/>
      </c>
      <c r="N31" s="168"/>
      <c r="O31" s="164" t="str">
        <f t="shared" si="11"/>
        <v/>
      </c>
      <c r="P31" s="164">
        <f>MAX('Curve-Barrows'!G179:G185)</f>
        <v>0</v>
      </c>
      <c r="Q31" s="164" t="str">
        <f t="shared" si="2"/>
        <v/>
      </c>
      <c r="R31" s="164" t="str">
        <f t="shared" si="12"/>
        <v/>
      </c>
      <c r="S31" s="166" t="str">
        <f>IFERROR(VLOOKUP(Q31,'Curve-Barrows'!$G$2:$R$185,12,FALSE),"")</f>
        <v/>
      </c>
      <c r="T31" s="166" t="str">
        <f>IFERROR(IF(S32="",S31+(MAX('Кормовой бюджет'!$C$38:$J$38)-S31),S31),"")</f>
        <v/>
      </c>
      <c r="U31" s="171" t="str">
        <f>IF(S31="","",SUM('Curve-Barrows'!Q179:Q185))</f>
        <v/>
      </c>
      <c r="V31" s="171" t="str">
        <f t="shared" si="13"/>
        <v/>
      </c>
      <c r="W31" s="168" t="str">
        <f>IF(R31="","",((S31/7)/U31))</f>
        <v/>
      </c>
      <c r="X31" s="169" t="str">
        <f t="shared" si="14"/>
        <v/>
      </c>
      <c r="Y31" s="169" t="str">
        <f t="shared" si="25"/>
        <v/>
      </c>
      <c r="Z31" s="171" t="str">
        <f>IF(U31="","",SUM($U$5:$U31))</f>
        <v/>
      </c>
      <c r="AA31" s="169" t="str">
        <f t="shared" si="16"/>
        <v/>
      </c>
      <c r="AB31" s="168"/>
      <c r="AC31" s="164" t="str">
        <f>IFERROR(IF(AE31-AE30&lt;0,"",AE31-AE30),"")</f>
        <v/>
      </c>
      <c r="AD31" s="164">
        <f>MAX('Curve-Gilts'!G179:G185)</f>
        <v>0</v>
      </c>
      <c r="AE31" s="164" t="str">
        <f t="shared" si="3"/>
        <v/>
      </c>
      <c r="AF31" s="164" t="str">
        <f t="shared" si="18"/>
        <v/>
      </c>
      <c r="AG31" s="166" t="str">
        <f>IFERROR(VLOOKUP(AE31,'Curve-Gilts'!$G$2:$R$185,12,FALSE),"")</f>
        <v/>
      </c>
      <c r="AH31" s="166" t="str">
        <f>IFERROR(IF(AG32="",AG31+(MAX('Кормовой бюджет'!$C$43:$J$43)-AG31),AG31),"")</f>
        <v/>
      </c>
      <c r="AI31" s="171" t="str">
        <f>IF(AG31="","",SUM('Curve-Gilts'!Q179:Q185))</f>
        <v/>
      </c>
      <c r="AJ31" s="171" t="str">
        <f t="shared" si="19"/>
        <v/>
      </c>
      <c r="AK31" s="169" t="str">
        <f t="shared" si="23"/>
        <v/>
      </c>
      <c r="AL31" s="169" t="str">
        <f t="shared" si="20"/>
        <v/>
      </c>
      <c r="AM31" s="169" t="str">
        <f t="shared" si="26"/>
        <v/>
      </c>
      <c r="AN31" s="171" t="str">
        <f>IF(AI31="","",SUM($AI$5:$AI31))</f>
        <v/>
      </c>
      <c r="AO31" s="169" t="str">
        <f t="shared" si="24"/>
        <v/>
      </c>
    </row>
    <row r="32" spans="1:41" x14ac:dyDescent="0.25">
      <c r="C32" s="216"/>
      <c r="D32" s="216"/>
      <c r="E32" s="28"/>
      <c r="F32" s="28"/>
    </row>
    <row r="33" spans="3:6" x14ac:dyDescent="0.25">
      <c r="C33" s="216"/>
      <c r="D33" s="216"/>
      <c r="E33" s="28"/>
      <c r="F33" s="28"/>
    </row>
  </sheetData>
  <mergeCells count="39">
    <mergeCell ref="AN3:AN4"/>
    <mergeCell ref="AO3:AO4"/>
    <mergeCell ref="AE2:AO2"/>
    <mergeCell ref="AJ3:AJ4"/>
    <mergeCell ref="F3:F4"/>
    <mergeCell ref="C2:M2"/>
    <mergeCell ref="T3:T4"/>
    <mergeCell ref="Q2:AA2"/>
    <mergeCell ref="AH3:AH4"/>
    <mergeCell ref="C3:C4"/>
    <mergeCell ref="P3:P4"/>
    <mergeCell ref="AD3:AD4"/>
    <mergeCell ref="H3:H4"/>
    <mergeCell ref="V3:V4"/>
    <mergeCell ref="AE3:AE4"/>
    <mergeCell ref="AF3:AF4"/>
    <mergeCell ref="S3:S4"/>
    <mergeCell ref="U3:U4"/>
    <mergeCell ref="AK3:AK4"/>
    <mergeCell ref="AL3:AL4"/>
    <mergeCell ref="AM3:AM4"/>
    <mergeCell ref="AG3:AG4"/>
    <mergeCell ref="AI3:AI4"/>
    <mergeCell ref="AA3:AA4"/>
    <mergeCell ref="W3:W4"/>
    <mergeCell ref="X3:X4"/>
    <mergeCell ref="Y3:Y4"/>
    <mergeCell ref="Z3:Z4"/>
    <mergeCell ref="Q3:Q4"/>
    <mergeCell ref="R3:R4"/>
    <mergeCell ref="L3:L4"/>
    <mergeCell ref="M3:M4"/>
    <mergeCell ref="B3:B4"/>
    <mergeCell ref="D3:D4"/>
    <mergeCell ref="E3:E4"/>
    <mergeCell ref="G3:G4"/>
    <mergeCell ref="I3:I4"/>
    <mergeCell ref="J3:J4"/>
    <mergeCell ref="K3:K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29A03-0524-46BB-97BC-C54E72D78D83}">
  <sheetPr codeName="Sheet15"/>
  <dimension ref="A1:R191"/>
  <sheetViews>
    <sheetView topLeftCell="E1" zoomScaleNormal="100" workbookViewId="0">
      <selection activeCell="M4" sqref="M4:M10"/>
    </sheetView>
  </sheetViews>
  <sheetFormatPr defaultColWidth="8.85546875" defaultRowHeight="15" x14ac:dyDescent="0.25"/>
  <cols>
    <col min="1" max="1" width="20.7109375" customWidth="1"/>
    <col min="2" max="2" width="12.42578125" customWidth="1"/>
    <col min="3" max="4" width="20.7109375" customWidth="1"/>
    <col min="5" max="5" width="15.85546875" customWidth="1"/>
    <col min="6" max="6" width="20.7109375" customWidth="1"/>
    <col min="8" max="8" width="20.7109375" customWidth="1"/>
    <col min="9" max="9" width="12.42578125" customWidth="1"/>
    <col min="10" max="11" width="20.7109375" customWidth="1"/>
    <col min="12" max="12" width="15.85546875" customWidth="1"/>
  </cols>
  <sheetData>
    <row r="1" spans="1:18" x14ac:dyDescent="0.25">
      <c r="A1" s="249" t="str">
        <f>'E-Mixed'!B1&amp;" - "&amp;'E-Mixed'!C1</f>
        <v>Mixed Gender - Low energy diet</v>
      </c>
      <c r="B1" s="249"/>
      <c r="C1" s="249"/>
      <c r="D1" s="249"/>
      <c r="E1" s="249"/>
      <c r="F1" s="94"/>
      <c r="H1" s="250" t="str">
        <f>'E-Mixed'!I1&amp;" - "&amp;'E-Mixed'!J1</f>
        <v xml:space="preserve">Mixed Gender - Client </v>
      </c>
      <c r="I1" s="250"/>
      <c r="J1" s="250"/>
      <c r="K1" s="250"/>
      <c r="L1" s="250"/>
    </row>
    <row r="2" spans="1:18" x14ac:dyDescent="0.25">
      <c r="A2" s="219" t="str">
        <f>'E-Mixed'!B2</f>
        <v>Body Weight, kg</v>
      </c>
      <c r="B2" s="219" t="str">
        <f>'E-Mixed'!A2</f>
        <v>Age, d</v>
      </c>
      <c r="C2" s="219" t="str">
        <f>'E-Mixed'!C2</f>
        <v>Est. ADG, g/d</v>
      </c>
      <c r="D2" s="219" t="str">
        <f>'E-Mixed'!G2</f>
        <v>Ac. Feed intake, kg</v>
      </c>
      <c r="E2" s="219" t="str">
        <f>'E-Mixed'!D2</f>
        <v>Est. G:F</v>
      </c>
      <c r="F2" s="218"/>
      <c r="G2" t="s">
        <v>55</v>
      </c>
      <c r="H2" s="212" t="str">
        <f>A2</f>
        <v>Body Weight, kg</v>
      </c>
      <c r="I2" s="212" t="str">
        <f>B2</f>
        <v>Age, d</v>
      </c>
      <c r="J2" s="212" t="str">
        <f>C2</f>
        <v>Est. ADG, g/d</v>
      </c>
      <c r="K2" s="212" t="str">
        <f>D2</f>
        <v>Ac. Feed intake, kg</v>
      </c>
      <c r="L2" s="212" t="str">
        <f>E2</f>
        <v>Est. G:F</v>
      </c>
      <c r="M2" s="216" t="s">
        <v>3</v>
      </c>
      <c r="N2" t="s">
        <v>30</v>
      </c>
      <c r="P2" s="216" t="s">
        <v>67</v>
      </c>
      <c r="Q2" t="s">
        <v>68</v>
      </c>
      <c r="R2" t="s">
        <v>62</v>
      </c>
    </row>
    <row r="3" spans="1:18" x14ac:dyDescent="0.25">
      <c r="A3" s="27">
        <f>IF('E-Mixed'!A3&lt;'Adj-Mixed'!$B$10,'E-Mixed'!B3," ")</f>
        <v>6.1337702232754658</v>
      </c>
      <c r="B3" s="217">
        <f>IF('E-Mixed'!A3&lt;'Adj-Mixed'!$B$10,'E-Mixed'!A3," ")</f>
        <v>21</v>
      </c>
      <c r="C3" s="217"/>
      <c r="D3" s="217"/>
      <c r="E3" s="217"/>
      <c r="F3" s="216"/>
      <c r="G3" s="216">
        <f>IFERROR(I3,"")</f>
        <v>21</v>
      </c>
      <c r="H3" s="27">
        <f>IF('E-Mixed'!A3&lt;'Adj-Mixed'!$B$10,'E-Mixed'!I3," ")</f>
        <v>12</v>
      </c>
      <c r="I3" s="217">
        <f>IF('E-Mixed'!A3&lt;'Adj-Mixed'!$B$10,'E-Mixed'!A3," ")</f>
        <v>21</v>
      </c>
      <c r="J3" s="217"/>
      <c r="K3" s="217"/>
      <c r="L3" s="217"/>
      <c r="R3" s="100">
        <f>IFERROR(IF(H3&lt;0,"",CONVERT(H3,"kg", "lbm")),"")</f>
        <v>26.455471462185308</v>
      </c>
    </row>
    <row r="4" spans="1:18" x14ac:dyDescent="0.25">
      <c r="A4" s="27">
        <f>IF('E-Mixed'!A4&lt;'Adj-Mixed'!$B$10,'E-Mixed'!B4," ")</f>
        <v>6.2172587145450322</v>
      </c>
      <c r="B4" s="217">
        <f>IF('E-Mixed'!A4&lt;'Adj-Mixed'!$B$10,'E-Mixed'!A4," ")</f>
        <v>22</v>
      </c>
      <c r="C4" s="25">
        <f>IF('E-Mixed'!A4&lt;'Adj-Mixed'!$B$10,'E-Mixed'!C4," ")</f>
        <v>83.488491269566367</v>
      </c>
      <c r="D4" s="27">
        <f>IF('E-Mixed'!A4&lt;'Adj-Mixed'!$B$10,'E-Mixed'!G4," ")</f>
        <v>8.5992533541623367E-2</v>
      </c>
      <c r="E4" s="26">
        <f>IF('E-Mixed'!A4&lt;'Adj-Mixed'!$B$10,'E-Mixed'!D4," ")</f>
        <v>0.9708807012780365</v>
      </c>
      <c r="F4" s="216"/>
      <c r="G4" s="216">
        <f t="shared" ref="G4:G67" si="0">IFERROR(I4,"")</f>
        <v>22</v>
      </c>
      <c r="H4" s="27">
        <f>IF('E-Mixed'!A4&lt;'Adj-Mixed'!$B$10,'E-Mixed'!I4," ")</f>
        <v>12.131217638873039</v>
      </c>
      <c r="I4" s="217">
        <f>IF('E-Mixed'!A4&lt;'Adj-Mixed'!$B$10,'E-Mixed'!A4," ")</f>
        <v>22</v>
      </c>
      <c r="J4" s="25">
        <f>IF('E-Mixed'!A4&lt;'Adj-Mixed'!$B$10,'E-Mixed'!J4," ")</f>
        <v>131.21763887303874</v>
      </c>
      <c r="K4" s="27">
        <f>IF('E-Mixed'!A4&lt;'Adj-Mixed'!$B$10,'E-Mixed'!N4," ")</f>
        <v>0.21558901187274232</v>
      </c>
      <c r="L4" s="26">
        <f>IF('E-Mixed'!A4&lt;'Adj-Mixed'!$B$10,'E-Mixed'!K4," ")</f>
        <v>0.60864715568386096</v>
      </c>
      <c r="M4" s="30">
        <f>IF('E-Mixed'!A4&lt;'Adj-Mixed'!$B$10,'E-Mixed'!M4," ")</f>
        <v>0.21558901187274232</v>
      </c>
      <c r="N4">
        <f>IF('E-Mixed'!A4&lt;'Adj-Mixed'!$B$10,1/L4," ")</f>
        <v>1.6429880443233562</v>
      </c>
      <c r="P4">
        <f>IFERROR(IF(J4&lt;0,"",CONVERT(J4,"g", "lbm")),"")</f>
        <v>0.2892853750450845</v>
      </c>
      <c r="Q4">
        <f>IFERROR(IF(M4&lt;0,"",CONVERT(M4,"kg", "lbm")),"")</f>
        <v>0.47529241259667199</v>
      </c>
      <c r="R4" s="100">
        <f t="shared" ref="R4:R67" si="1">IFERROR(IF(H4&lt;0,"",CONVERT(H4,"kg", "lbm")),"")</f>
        <v>26.744756837230394</v>
      </c>
    </row>
    <row r="5" spans="1:18" x14ac:dyDescent="0.25">
      <c r="A5" s="27">
        <f>IF('E-Mixed'!A5&lt;'Adj-Mixed'!$B$10,'E-Mixed'!B5," ")</f>
        <v>6.3251686797553202</v>
      </c>
      <c r="B5" s="217">
        <f>IF('E-Mixed'!A5&lt;'Adj-Mixed'!$B$10,'E-Mixed'!A5," ")</f>
        <v>23</v>
      </c>
      <c r="C5" s="25">
        <f>IF('E-Mixed'!A5&lt;'Adj-Mixed'!$B$10,'E-Mixed'!C5," ")</f>
        <v>107.90996521028795</v>
      </c>
      <c r="D5" s="27">
        <f>IF('E-Mixed'!A5&lt;'Adj-Mixed'!$B$10,'E-Mixed'!G5," ")</f>
        <v>0.19821809805434565</v>
      </c>
      <c r="E5" s="26">
        <f>IF('E-Mixed'!A5&lt;'Adj-Mixed'!$B$10,'E-Mixed'!D5," ")</f>
        <v>0.96154530991960308</v>
      </c>
      <c r="F5" s="216"/>
      <c r="G5" s="216">
        <f t="shared" si="0"/>
        <v>23</v>
      </c>
      <c r="H5" s="27">
        <f>IF('E-Mixed'!A5&lt;'Adj-Mixed'!$B$10,'E-Mixed'!I5," ")</f>
        <v>12.300818150637555</v>
      </c>
      <c r="I5" s="217">
        <f>IF('E-Mixed'!A5&lt;'Adj-Mixed'!$B$10,'E-Mixed'!A5," ")</f>
        <v>23</v>
      </c>
      <c r="J5" s="25">
        <f>IF('E-Mixed'!A5&lt;'Adj-Mixed'!$B$10,'E-Mixed'!J5," ")</f>
        <v>169.60051176451546</v>
      </c>
      <c r="K5" s="27">
        <f>IF('E-Mixed'!A5&lt;'Adj-Mixed'!$B$10,'E-Mixed'!N5," ")</f>
        <v>0.49694598048034205</v>
      </c>
      <c r="L5" s="26">
        <f>IF('E-Mixed'!A5&lt;'Adj-Mixed'!$B$10,'E-Mixed'!K5," ")</f>
        <v>0.60279477918690649</v>
      </c>
      <c r="M5" s="30">
        <f>IF('E-Mixed'!A5&lt;'Adj-Mixed'!$B$10,'E-Mixed'!M5," ")</f>
        <v>0.28135696860759973</v>
      </c>
      <c r="N5">
        <f>IF('E-Mixed'!A5&lt;'Adj-Mixed'!$B$10,1/L5," ")</f>
        <v>1.6589393845594895</v>
      </c>
      <c r="P5">
        <f t="shared" ref="P5:P68" si="2">IFERROR(IF(J5&lt;0,"",CONVERT(J5,"g", "lbm")),"")</f>
        <v>0.37390512491318023</v>
      </c>
      <c r="Q5">
        <f t="shared" ref="Q5:Q68" si="3">IFERROR(IF(M5&lt;0,"",CONVERT(M5,"kg", "lbm")),"")</f>
        <v>0.62028593780711028</v>
      </c>
      <c r="R5" s="100">
        <f t="shared" si="1"/>
        <v>27.118661962143577</v>
      </c>
    </row>
    <row r="6" spans="1:18" x14ac:dyDescent="0.25">
      <c r="A6" s="27">
        <f>IF('E-Mixed'!A6&lt;'Adj-Mixed'!$B$10,'E-Mixed'!B6," ")</f>
        <v>6.4569186552410729</v>
      </c>
      <c r="B6" s="217">
        <f>IF('E-Mixed'!A6&lt;'Adj-Mixed'!$B$10,'E-Mixed'!A6," ")</f>
        <v>24</v>
      </c>
      <c r="C6" s="25">
        <f>IF('E-Mixed'!A6&lt;'Adj-Mixed'!$B$10,'E-Mixed'!C6," ")</f>
        <v>131.74997548575274</v>
      </c>
      <c r="D6" s="27">
        <f>IF('E-Mixed'!A6&lt;'Adj-Mixed'!$B$10,'E-Mixed'!G6," ")</f>
        <v>0.33655458703814362</v>
      </c>
      <c r="E6" s="26">
        <f>IF('E-Mixed'!A6&lt;'Adj-Mixed'!$B$10,'E-Mixed'!D6," ")</f>
        <v>0.95238773553941614</v>
      </c>
      <c r="F6" s="216"/>
      <c r="G6" s="216">
        <f t="shared" si="0"/>
        <v>24</v>
      </c>
      <c r="H6" s="27">
        <f>IF('E-Mixed'!A6&lt;'Adj-Mixed'!$B$10,'E-Mixed'!I6," ")</f>
        <v>12.507887657367558</v>
      </c>
      <c r="I6" s="217">
        <f>IF('E-Mixed'!A6&lt;'Adj-Mixed'!$B$10,'E-Mixed'!A6," ")</f>
        <v>24</v>
      </c>
      <c r="J6" s="25">
        <f>IF('E-Mixed'!A6&lt;'Adj-Mixed'!$B$10,'E-Mixed'!J6," ")</f>
        <v>207.06950673000227</v>
      </c>
      <c r="K6" s="27">
        <f>IF('E-Mixed'!A6&lt;'Adj-Mixed'!$B$10,'E-Mixed'!N6," ")</f>
        <v>0.84376477669043093</v>
      </c>
      <c r="L6" s="26">
        <f>IF('E-Mixed'!A6&lt;'Adj-Mixed'!$B$10,'E-Mixed'!K6," ")</f>
        <v>0.59705387652798347</v>
      </c>
      <c r="M6" s="30">
        <f>IF('E-Mixed'!A6&lt;'Adj-Mixed'!$B$10,'E-Mixed'!M6," ")</f>
        <v>0.34681879621008888</v>
      </c>
      <c r="N6">
        <f>IF('E-Mixed'!A6&lt;'Adj-Mixed'!$B$10,1/L6," ")</f>
        <v>1.6748907247956386</v>
      </c>
      <c r="P6">
        <f t="shared" si="2"/>
        <v>0.4565101188320303</v>
      </c>
      <c r="Q6">
        <f t="shared" si="3"/>
        <v>0.76460456380712238</v>
      </c>
      <c r="R6" s="100">
        <f t="shared" si="1"/>
        <v>27.575172080975605</v>
      </c>
    </row>
    <row r="7" spans="1:18" x14ac:dyDescent="0.25">
      <c r="A7" s="27">
        <f>IF('E-Mixed'!A7&lt;'Adj-Mixed'!$B$10,'E-Mixed'!B7," ")</f>
        <v>6.6119271773370354</v>
      </c>
      <c r="B7" s="217">
        <f>IF('E-Mixed'!A7&lt;'Adj-Mixed'!$B$10,'E-Mixed'!A7," ")</f>
        <v>25</v>
      </c>
      <c r="C7" s="25">
        <f>IF('E-Mixed'!A7&lt;'Adj-Mixed'!$B$10,'E-Mixed'!C7," ")</f>
        <v>155.00852209596249</v>
      </c>
      <c r="D7" s="27">
        <f>IF('E-Mixed'!A7&lt;'Adj-Mixed'!$B$10,'E-Mixed'!G7," ")</f>
        <v>0.50086245020727849</v>
      </c>
      <c r="E7" s="26">
        <f>IF('E-Mixed'!A7&lt;'Adj-Mixed'!$B$10,'E-Mixed'!D7," ")</f>
        <v>0.94340294558149185</v>
      </c>
      <c r="F7" s="216"/>
      <c r="G7" s="216">
        <f t="shared" si="0"/>
        <v>25</v>
      </c>
      <c r="H7" s="27">
        <f>IF('E-Mixed'!A7&lt;'Adj-Mixed'!$B$10,'E-Mixed'!I7," ")</f>
        <v>12.75151228113706</v>
      </c>
      <c r="I7" s="217">
        <f>IF('E-Mixed'!A7&lt;'Adj-Mixed'!$B$10,'E-Mixed'!A7," ")</f>
        <v>25</v>
      </c>
      <c r="J7" s="25">
        <f>IF('E-Mixed'!A7&lt;'Adj-Mixed'!$B$10,'E-Mixed'!J7," ")</f>
        <v>243.62462376950191</v>
      </c>
      <c r="K7" s="27">
        <f>IF('E-Mixed'!A7&lt;'Adj-Mixed'!$B$10,'E-Mixed'!N7," ")</f>
        <v>1.2556955386374502</v>
      </c>
      <c r="L7" s="26">
        <f>IF('E-Mixed'!A7&lt;'Adj-Mixed'!$B$10,'E-Mixed'!K7," ")</f>
        <v>0.59142129278715017</v>
      </c>
      <c r="M7" s="30">
        <f>IF('E-Mixed'!A7&lt;'Adj-Mixed'!$B$10,'E-Mixed'!M7," ")</f>
        <v>0.41193076194701922</v>
      </c>
      <c r="N7">
        <f>IF('E-Mixed'!A7&lt;'Adj-Mixed'!$B$10,1/L7," ")</f>
        <v>1.690842065031797</v>
      </c>
      <c r="P7">
        <f t="shared" si="2"/>
        <v>0.53710035680164081</v>
      </c>
      <c r="Q7">
        <f t="shared" si="3"/>
        <v>0.90815187642380146</v>
      </c>
      <c r="R7" s="100">
        <f t="shared" si="1"/>
        <v>28.11227243777725</v>
      </c>
    </row>
    <row r="8" spans="1:18" x14ac:dyDescent="0.25">
      <c r="A8" s="27">
        <f>IF('E-Mixed'!A8&lt;'Adj-Mixed'!$B$10,'E-Mixed'!B8," ")</f>
        <v>6.7896127823779535</v>
      </c>
      <c r="B8" s="217">
        <f>IF('E-Mixed'!A8&lt;'Adj-Mixed'!$B$10,'E-Mixed'!A8," ")</f>
        <v>26</v>
      </c>
      <c r="C8" s="25">
        <f>IF('E-Mixed'!A8&lt;'Adj-Mixed'!$B$10,'E-Mixed'!C8," ")</f>
        <v>177.68560504091812</v>
      </c>
      <c r="D8" s="27">
        <f>IF('E-Mixed'!A8&lt;'Adj-Mixed'!$B$10,'E-Mixed'!G8," ")</f>
        <v>0.69276153688546027</v>
      </c>
      <c r="E8" s="26">
        <f>IF('E-Mixed'!A8&lt;'Adj-Mixed'!$B$10,'E-Mixed'!D8," ")</f>
        <v>0.92593252066332199</v>
      </c>
      <c r="F8" s="216"/>
      <c r="G8" s="216">
        <f t="shared" si="0"/>
        <v>26</v>
      </c>
      <c r="H8" s="27">
        <f>IF('E-Mixed'!A8&lt;'Adj-Mixed'!$B$10,'E-Mixed'!I8," ")</f>
        <v>13.030778144020076</v>
      </c>
      <c r="I8" s="217">
        <f>IF('E-Mixed'!A8&lt;'Adj-Mixed'!$B$10,'E-Mixed'!A8," ")</f>
        <v>26</v>
      </c>
      <c r="J8" s="25">
        <f>IF('E-Mixed'!A8&lt;'Adj-Mixed'!$B$10,'E-Mixed'!J8," ")</f>
        <v>279.26586288301581</v>
      </c>
      <c r="K8" s="27">
        <f>IF('E-Mixed'!A8&lt;'Adj-Mixed'!$B$10,'E-Mixed'!N8," ")</f>
        <v>1.7367993365178298</v>
      </c>
      <c r="L8" s="26">
        <f>IF('E-Mixed'!A8&lt;'Adj-Mixed'!$B$10,'E-Mixed'!K8," ")</f>
        <v>0.58046904662442877</v>
      </c>
      <c r="M8" s="30">
        <f>IF('E-Mixed'!A8&lt;'Adj-Mixed'!$B$10,'E-Mixed'!M8," ")</f>
        <v>0.48110379788037955</v>
      </c>
      <c r="N8">
        <f>IF('E-Mixed'!A8&lt;'Adj-Mixed'!$B$10,1/L8," ")</f>
        <v>1.7227447455040843</v>
      </c>
      <c r="P8">
        <f t="shared" si="2"/>
        <v>0.61567583882201504</v>
      </c>
      <c r="Q8">
        <f t="shared" si="3"/>
        <v>1.0606523162644459</v>
      </c>
      <c r="R8" s="100">
        <f t="shared" si="1"/>
        <v>28.727948276599264</v>
      </c>
    </row>
    <row r="9" spans="1:18" x14ac:dyDescent="0.25">
      <c r="A9" s="27">
        <f>IF('E-Mixed'!A9&lt;'Adj-Mixed'!$B$10,'E-Mixed'!B9," ")</f>
        <v>6.9893940066985696</v>
      </c>
      <c r="B9" s="217">
        <f>IF('E-Mixed'!A9&lt;'Adj-Mixed'!$B$10,'E-Mixed'!A9," ")</f>
        <v>27</v>
      </c>
      <c r="C9" s="25">
        <f>IF('E-Mixed'!A9&lt;'Adj-Mixed'!$B$10,'E-Mixed'!C9," ")</f>
        <v>199.78122432061608</v>
      </c>
      <c r="D9" s="27">
        <f>IF('E-Mixed'!A9&lt;'Adj-Mixed'!$B$10,'E-Mixed'!G9," ")</f>
        <v>0.91136684144980806</v>
      </c>
      <c r="E9" s="26">
        <f>IF('E-Mixed'!A9&lt;'Adj-Mixed'!$B$10,'E-Mixed'!D9," ")</f>
        <v>0.91389010307300089</v>
      </c>
      <c r="F9" s="216"/>
      <c r="G9" s="216">
        <f t="shared" si="0"/>
        <v>27</v>
      </c>
      <c r="H9" s="27">
        <f>IF('E-Mixed'!A9&lt;'Adj-Mixed'!$B$10,'E-Mixed'!I9," ")</f>
        <v>13.344771368090614</v>
      </c>
      <c r="I9" s="217">
        <f>IF('E-Mixed'!A9&lt;'Adj-Mixed'!$B$10,'E-Mixed'!A9," ")</f>
        <v>27</v>
      </c>
      <c r="J9" s="25">
        <f>IF('E-Mixed'!A9&lt;'Adj-Mixed'!$B$10,'E-Mixed'!J9," ")</f>
        <v>313.99322407053842</v>
      </c>
      <c r="K9" s="27">
        <f>IF('E-Mixed'!A9&lt;'Adj-Mixed'!$B$10,'E-Mixed'!N9," ")</f>
        <v>2.2848574022608923</v>
      </c>
      <c r="L9" s="26">
        <f>IF('E-Mixed'!A9&lt;'Adj-Mixed'!$B$10,'E-Mixed'!K9," ")</f>
        <v>0.57291962968344134</v>
      </c>
      <c r="M9" s="30">
        <f>IF('E-Mixed'!A9&lt;'Adj-Mixed'!$B$10,'E-Mixed'!M9," ")</f>
        <v>0.54805806574306237</v>
      </c>
      <c r="N9">
        <f>IF('E-Mixed'!A9&lt;'Adj-Mixed'!$B$10,1/L9," ")</f>
        <v>1.7454455183400435</v>
      </c>
      <c r="P9">
        <f t="shared" si="2"/>
        <v>0.69223656489314056</v>
      </c>
      <c r="Q9">
        <f t="shared" si="3"/>
        <v>1.2082612098238388</v>
      </c>
      <c r="R9" s="100">
        <f t="shared" si="1"/>
        <v>29.420184841492404</v>
      </c>
    </row>
    <row r="10" spans="1:18" x14ac:dyDescent="0.25">
      <c r="A10" s="27">
        <f>IF('E-Mixed'!A10&lt;'Adj-Mixed'!$B$10,'E-Mixed'!B10," ")</f>
        <v>7.2106893866336321</v>
      </c>
      <c r="B10" s="217">
        <f>IF('E-Mixed'!A10&lt;'Adj-Mixed'!$B$10,'E-Mixed'!A10," ")</f>
        <v>28</v>
      </c>
      <c r="C10" s="25">
        <f>IF('E-Mixed'!A10&lt;'Adj-Mixed'!$B$10,'E-Mixed'!C10," ")</f>
        <v>221.29537993506256</v>
      </c>
      <c r="D10" s="27">
        <f>IF('E-Mixed'!A10&lt;'Adj-Mixed'!$B$10,'E-Mixed'!G10," ")</f>
        <v>1.156678363900322</v>
      </c>
      <c r="E10" s="26">
        <f>IF('E-Mixed'!A10&lt;'Adj-Mixed'!$B$10,'E-Mixed'!D10," ")</f>
        <v>0.90209941108536196</v>
      </c>
      <c r="F10" s="216"/>
      <c r="G10" s="216">
        <f t="shared" si="0"/>
        <v>28</v>
      </c>
      <c r="H10" s="27">
        <f>IF('E-Mixed'!A10&lt;'Adj-Mixed'!$B$10,'E-Mixed'!I10," ")</f>
        <v>13.692578075422693</v>
      </c>
      <c r="I10" s="217">
        <f>IF('E-Mixed'!A10&lt;'Adj-Mixed'!$B$10,'E-Mixed'!A10," ")</f>
        <v>28</v>
      </c>
      <c r="J10" s="25">
        <f>IF('E-Mixed'!A10&lt;'Adj-Mixed'!$B$10,'E-Mixed'!J10," ")</f>
        <v>347.80670733207944</v>
      </c>
      <c r="K10" s="27">
        <f>IF('E-Mixed'!A10&lt;'Adj-Mixed'!$B$10,'E-Mixed'!N10," ")</f>
        <v>2.8998697358666412</v>
      </c>
      <c r="L10" s="26">
        <f>IF('E-Mixed'!A10&lt;'Adj-Mixed'!$B$10,'E-Mixed'!K10," ")</f>
        <v>0.56552802005274816</v>
      </c>
      <c r="M10" s="30">
        <f>IF('E-Mixed'!A10&lt;'Adj-Mixed'!$B$10,'E-Mixed'!M10," ")</f>
        <v>0.61501233360574903</v>
      </c>
      <c r="N10">
        <f>IF('E-Mixed'!A10&lt;'Adj-Mixed'!$B$10,1/L10," ")</f>
        <v>1.7682589801770168</v>
      </c>
      <c r="P10">
        <f t="shared" si="2"/>
        <v>0.76678253501503879</v>
      </c>
      <c r="Q10">
        <f t="shared" si="3"/>
        <v>1.3558701033832403</v>
      </c>
      <c r="R10" s="100">
        <f t="shared" si="1"/>
        <v>30.186967376507443</v>
      </c>
    </row>
    <row r="11" spans="1:18" x14ac:dyDescent="0.25">
      <c r="A11" s="27">
        <f>IF('E-Mixed'!A11&lt;'Adj-Mixed'!$B$10,'E-Mixed'!B11," ")</f>
        <v>7.4529174585178826</v>
      </c>
      <c r="B11" s="217">
        <f>IF('E-Mixed'!A11&lt;'Adj-Mixed'!$B$10,'E-Mixed'!A11," ")</f>
        <v>29</v>
      </c>
      <c r="C11" s="25">
        <f>IF('E-Mixed'!A11&lt;'Adj-Mixed'!$B$10,'E-Mixed'!C11," ")</f>
        <v>242.22807188425043</v>
      </c>
      <c r="D11" s="27">
        <f>IF('E-Mixed'!A11&lt;'Adj-Mixed'!$B$10,'E-Mixed'!G11," ")</f>
        <v>1.4286961042370019</v>
      </c>
      <c r="E11" s="26">
        <f>IF('E-Mixed'!A11&lt;'Adj-Mixed'!$B$10,'E-Mixed'!D11," ")</f>
        <v>0.89048630278466967</v>
      </c>
      <c r="F11" s="216"/>
      <c r="G11" s="216">
        <f t="shared" si="0"/>
        <v>29</v>
      </c>
      <c r="H11" s="27">
        <f>IF('E-Mixed'!A11&lt;'Adj-Mixed'!$B$10,'E-Mixed'!I11," ")</f>
        <v>14.07328438809032</v>
      </c>
      <c r="I11" s="217">
        <f>IF('E-Mixed'!A11&lt;'Adj-Mixed'!$B$10,'E-Mixed'!A11," ")</f>
        <v>29</v>
      </c>
      <c r="J11" s="25">
        <f>IF('E-Mixed'!A11&lt;'Adj-Mixed'!$B$10,'E-Mixed'!J11," ")</f>
        <v>380.70631266762769</v>
      </c>
      <c r="K11" s="27">
        <f>IF('E-Mixed'!A11&lt;'Adj-Mixed'!$B$10,'E-Mixed'!N11," ")</f>
        <v>3.5818363373350732</v>
      </c>
      <c r="L11" s="26">
        <f>IF('E-Mixed'!A11&lt;'Adj-Mixed'!$B$10,'E-Mixed'!K11," ")</f>
        <v>0.55824773800927918</v>
      </c>
      <c r="M11" s="30">
        <f>IF('E-Mixed'!A11&lt;'Adj-Mixed'!$B$10,'E-Mixed'!M11," ")</f>
        <v>0.68196660146843191</v>
      </c>
      <c r="N11">
        <f>IF('E-Mixed'!A11&lt;'Adj-Mixed'!$B$10,1/L11," ")</f>
        <v>1.7913193944430779</v>
      </c>
      <c r="P11">
        <f t="shared" si="2"/>
        <v>0.83931374918768509</v>
      </c>
      <c r="Q11">
        <f t="shared" si="3"/>
        <v>1.5034789969426334</v>
      </c>
      <c r="R11" s="100">
        <f t="shared" si="1"/>
        <v>31.026281125695125</v>
      </c>
    </row>
    <row r="12" spans="1:18" x14ac:dyDescent="0.25">
      <c r="A12" s="27">
        <f>IF('E-Mixed'!A12&lt;'Adj-Mixed'!$B$10,'E-Mixed'!B12," ")</f>
        <v>7.7154967586860668</v>
      </c>
      <c r="B12" s="217">
        <f>IF('E-Mixed'!A12&lt;'Adj-Mixed'!$B$10,'E-Mixed'!A12," ")</f>
        <v>30</v>
      </c>
      <c r="C12" s="25">
        <f>IF('E-Mixed'!A12&lt;'Adj-Mixed'!$B$10,'E-Mixed'!C12," ")</f>
        <v>262.5793001681842</v>
      </c>
      <c r="D12" s="27">
        <f>IF('E-Mixed'!A12&lt;'Adj-Mixed'!$B$10,'E-Mixed'!G12," ")</f>
        <v>1.7274200624598479</v>
      </c>
      <c r="E12" s="26">
        <f>IF('E-Mixed'!A12&lt;'Adj-Mixed'!$B$10,'E-Mixed'!D12," ")</f>
        <v>0.87900314969816329</v>
      </c>
      <c r="F12" s="216"/>
      <c r="G12" s="216">
        <f t="shared" si="0"/>
        <v>30</v>
      </c>
      <c r="H12" s="27">
        <f>IF('E-Mixed'!A12&lt;'Adj-Mixed'!$B$10,'E-Mixed'!I12," ")</f>
        <v>14.485976428167509</v>
      </c>
      <c r="I12" s="217">
        <f>IF('E-Mixed'!A12&lt;'Adj-Mixed'!$B$10,'E-Mixed'!A12," ")</f>
        <v>30</v>
      </c>
      <c r="J12" s="25">
        <f>IF('E-Mixed'!A12&lt;'Adj-Mixed'!$B$10,'E-Mixed'!J12," ")</f>
        <v>412.69204007719026</v>
      </c>
      <c r="K12" s="27">
        <f>IF('E-Mixed'!A12&lt;'Adj-Mixed'!$B$10,'E-Mixed'!N12," ")</f>
        <v>4.3307572066661892</v>
      </c>
      <c r="L12" s="26">
        <f>IF('E-Mixed'!A12&lt;'Adj-Mixed'!$B$10,'E-Mixed'!K12," ")</f>
        <v>0.55104892516318582</v>
      </c>
      <c r="M12" s="30">
        <f>IF('E-Mixed'!A12&lt;'Adj-Mixed'!$B$10,'E-Mixed'!M12," ")</f>
        <v>0.74892086933111601</v>
      </c>
      <c r="N12">
        <f>IF('E-Mixed'!A12&lt;'Adj-Mixed'!$B$10,1/L12," ")</f>
        <v>1.8147208974300482</v>
      </c>
      <c r="P12">
        <f t="shared" si="2"/>
        <v>0.90983020741109522</v>
      </c>
      <c r="Q12">
        <f t="shared" si="3"/>
        <v>1.6510878905020294</v>
      </c>
      <c r="R12" s="100">
        <f t="shared" si="1"/>
        <v>31.936111333106219</v>
      </c>
    </row>
    <row r="13" spans="1:18" x14ac:dyDescent="0.25">
      <c r="A13" s="27">
        <f>IF('E-Mixed'!A13&lt;'Adj-Mixed'!$B$10,'E-Mixed'!B13," ")</f>
        <v>7.9978458234729306</v>
      </c>
      <c r="B13" s="217">
        <f>IF('E-Mixed'!A13&lt;'Adj-Mixed'!$B$10,'E-Mixed'!A13," ")</f>
        <v>31</v>
      </c>
      <c r="C13" s="25">
        <f>IF('E-Mixed'!A13&lt;'Adj-Mixed'!$B$10,'E-Mixed'!C13," ")</f>
        <v>282.34906478686383</v>
      </c>
      <c r="D13" s="27">
        <f>IF('E-Mixed'!A13&lt;'Adj-Mixed'!$B$10,'E-Mixed'!G13," ")</f>
        <v>2.0528502385688601</v>
      </c>
      <c r="E13" s="26">
        <f>IF('E-Mixed'!A13&lt;'Adj-Mixed'!$B$10,'E-Mixed'!D13," ")</f>
        <v>0.86761795775288808</v>
      </c>
      <c r="F13" s="216"/>
      <c r="G13" s="216">
        <f t="shared" si="0"/>
        <v>31</v>
      </c>
      <c r="H13" s="27">
        <f>IF('E-Mixed'!A13&lt;'Adj-Mixed'!$B$10,'E-Mixed'!I13," ")</f>
        <v>14.929740317728276</v>
      </c>
      <c r="I13" s="217">
        <f>IF('E-Mixed'!A13&lt;'Adj-Mixed'!$B$10,'E-Mixed'!A13," ")</f>
        <v>31</v>
      </c>
      <c r="J13" s="25">
        <f>IF('E-Mixed'!A13&lt;'Adj-Mixed'!$B$10,'E-Mixed'!J13," ")</f>
        <v>443.7638895607671</v>
      </c>
      <c r="K13" s="27">
        <f>IF('E-Mixed'!A13&lt;'Adj-Mixed'!$B$10,'E-Mixed'!N13," ")</f>
        <v>5.1466323438599897</v>
      </c>
      <c r="L13" s="26">
        <f>IF('E-Mixed'!A13&lt;'Adj-Mixed'!$B$10,'E-Mixed'!K13," ")</f>
        <v>0.54391152436277368</v>
      </c>
      <c r="M13" s="30">
        <f>IF('E-Mixed'!A13&lt;'Adj-Mixed'!$B$10,'E-Mixed'!M13," ")</f>
        <v>0.81587513719380045</v>
      </c>
      <c r="N13">
        <f>IF('E-Mixed'!A13&lt;'Adj-Mixed'!$B$10,1/L13," ")</f>
        <v>1.8385343115712844</v>
      </c>
      <c r="P13">
        <f t="shared" si="2"/>
        <v>0.97833190968526895</v>
      </c>
      <c r="Q13">
        <f t="shared" si="3"/>
        <v>1.7986967840614261</v>
      </c>
      <c r="R13" s="100">
        <f t="shared" si="1"/>
        <v>32.914443242791492</v>
      </c>
    </row>
    <row r="14" spans="1:18" x14ac:dyDescent="0.25">
      <c r="A14" s="27">
        <f>IF('E-Mixed'!A14&lt;'Adj-Mixed'!$B$10,'E-Mixed'!B14," ")</f>
        <v>8.2993831892132164</v>
      </c>
      <c r="B14" s="217">
        <f>IF('E-Mixed'!A14&lt;'Adj-Mixed'!$B$10,'E-Mixed'!A14," ")</f>
        <v>32</v>
      </c>
      <c r="C14" s="25">
        <f>IF('E-Mixed'!A14&lt;'Adj-Mixed'!$B$10,'E-Mixed'!C14," ")</f>
        <v>301.53736574028579</v>
      </c>
      <c r="D14" s="27">
        <f>IF('E-Mixed'!A14&lt;'Adj-Mixed'!$B$10,'E-Mixed'!G14," ")</f>
        <v>2.4049866325640381</v>
      </c>
      <c r="E14" s="26">
        <f>IF('E-Mixed'!A14&lt;'Adj-Mixed'!$B$10,'E-Mixed'!D14," ")</f>
        <v>0.85630843866827244</v>
      </c>
      <c r="F14" s="216"/>
      <c r="G14" s="216">
        <f t="shared" si="0"/>
        <v>32</v>
      </c>
      <c r="H14" s="27">
        <f>IF('E-Mixed'!A14&lt;'Adj-Mixed'!$B$10,'E-Mixed'!I14," ")</f>
        <v>15.403662178846629</v>
      </c>
      <c r="I14" s="217">
        <f>IF('E-Mixed'!A14&lt;'Adj-Mixed'!$B$10,'E-Mixed'!A14," ")</f>
        <v>32</v>
      </c>
      <c r="J14" s="25">
        <f>IF('E-Mixed'!A14&lt;'Adj-Mixed'!$B$10,'E-Mixed'!J14," ")</f>
        <v>473.92186111835258</v>
      </c>
      <c r="K14" s="27">
        <f>IF('E-Mixed'!A14&lt;'Adj-Mixed'!$B$10,'E-Mixed'!N14," ")</f>
        <v>6.0294617489164715</v>
      </c>
      <c r="L14" s="26">
        <f>IF('E-Mixed'!A14&lt;'Adj-Mixed'!$B$10,'E-Mixed'!K14," ")</f>
        <v>0.53682156303802764</v>
      </c>
      <c r="M14" s="30">
        <f>IF('E-Mixed'!A14&lt;'Adj-Mixed'!$B$10,'E-Mixed'!M14," ")</f>
        <v>0.88282940505648189</v>
      </c>
      <c r="N14">
        <f>IF('E-Mixed'!A14&lt;'Adj-Mixed'!$B$10,1/L14," ")</f>
        <v>1.8628163785759879</v>
      </c>
      <c r="P14">
        <f t="shared" si="2"/>
        <v>1.0448188560101939</v>
      </c>
      <c r="Q14">
        <f t="shared" si="3"/>
        <v>1.9463056776208161</v>
      </c>
      <c r="R14" s="100">
        <f t="shared" si="1"/>
        <v>33.95926209880168</v>
      </c>
    </row>
    <row r="15" spans="1:18" x14ac:dyDescent="0.25">
      <c r="A15" s="27">
        <f>IF('E-Mixed'!A15&lt;'Adj-Mixed'!$B$10,'E-Mixed'!B15," ")</f>
        <v>8.6195273922416717</v>
      </c>
      <c r="B15" s="217">
        <f>IF('E-Mixed'!A15&lt;'Adj-Mixed'!$B$10,'E-Mixed'!A15," ")</f>
        <v>33</v>
      </c>
      <c r="C15" s="25">
        <f>IF('E-Mixed'!A15&lt;'Adj-Mixed'!$B$10,'E-Mixed'!C15," ")</f>
        <v>320.14420302845537</v>
      </c>
      <c r="D15" s="27">
        <f>IF('E-Mixed'!A15&lt;'Adj-Mixed'!$B$10,'E-Mixed'!G15," ")</f>
        <v>2.7838292444453825</v>
      </c>
      <c r="E15" s="26">
        <f>IF('E-Mixed'!A15&lt;'Adj-Mixed'!$B$10,'E-Mixed'!D15," ")</f>
        <v>0.84505858894438823</v>
      </c>
      <c r="F15" s="216"/>
      <c r="G15" s="216">
        <f t="shared" si="0"/>
        <v>33</v>
      </c>
      <c r="H15" s="27">
        <f>IF('E-Mixed'!A15&lt;'Adj-Mixed'!$B$10,'E-Mixed'!I15," ")</f>
        <v>15.906828133596584</v>
      </c>
      <c r="I15" s="217">
        <f>IF('E-Mixed'!A15&lt;'Adj-Mixed'!$B$10,'E-Mixed'!A15," ")</f>
        <v>33</v>
      </c>
      <c r="J15" s="25">
        <f>IF('E-Mixed'!A15&lt;'Adj-Mixed'!$B$10,'E-Mixed'!J15," ")</f>
        <v>503.16595474995506</v>
      </c>
      <c r="K15" s="27">
        <f>IF('E-Mixed'!A15&lt;'Adj-Mixed'!$B$10,'E-Mixed'!N15," ")</f>
        <v>6.9792454218356399</v>
      </c>
      <c r="L15" s="26">
        <f>IF('E-Mixed'!A15&lt;'Adj-Mixed'!$B$10,'E-Mixed'!K15," ")</f>
        <v>0.5297690085611495</v>
      </c>
      <c r="M15" s="30">
        <f>IF('E-Mixed'!A15&lt;'Adj-Mixed'!$B$10,'E-Mixed'!M15," ")</f>
        <v>0.94978367291916865</v>
      </c>
      <c r="N15">
        <f>IF('E-Mixed'!A15&lt;'Adj-Mixed'!$B$10,1/L15," ")</f>
        <v>1.8876151376162904</v>
      </c>
      <c r="P15">
        <f t="shared" si="2"/>
        <v>1.1092910463858883</v>
      </c>
      <c r="Q15">
        <f t="shared" si="3"/>
        <v>2.0939145711802176</v>
      </c>
      <c r="R15" s="100">
        <f t="shared" si="1"/>
        <v>35.068553145187565</v>
      </c>
    </row>
    <row r="16" spans="1:18" x14ac:dyDescent="0.25">
      <c r="A16" s="27">
        <f>IF('E-Mixed'!A16&lt;'Adj-Mixed'!$B$10,'E-Mixed'!B16," ")</f>
        <v>8.957696968893039</v>
      </c>
      <c r="B16" s="217">
        <f>IF('E-Mixed'!A16&lt;'Adj-Mixed'!$B$10,'E-Mixed'!A16," ")</f>
        <v>34</v>
      </c>
      <c r="C16" s="25">
        <f>IF('E-Mixed'!A16&lt;'Adj-Mixed'!$B$10,'E-Mixed'!C16," ")</f>
        <v>338.16957665136727</v>
      </c>
      <c r="D16" s="27">
        <f>IF('E-Mixed'!A16&lt;'Adj-Mixed'!$B$10,'E-Mixed'!G16," ")</f>
        <v>3.1893780742128928</v>
      </c>
      <c r="E16" s="26">
        <f>IF('E-Mixed'!A16&lt;'Adj-Mixed'!$B$10,'E-Mixed'!D16," ")</f>
        <v>0.83385662053378429</v>
      </c>
      <c r="F16" s="216"/>
      <c r="G16" s="216">
        <f t="shared" si="0"/>
        <v>34</v>
      </c>
      <c r="H16" s="27">
        <f>IF('E-Mixed'!A16&lt;'Adj-Mixed'!$B$10,'E-Mixed'!I16," ")</f>
        <v>16.438324304052149</v>
      </c>
      <c r="I16" s="217">
        <f>IF('E-Mixed'!A16&lt;'Adj-Mixed'!$B$10,'E-Mixed'!A16," ")</f>
        <v>34</v>
      </c>
      <c r="J16" s="25">
        <f>IF('E-Mixed'!A16&lt;'Adj-Mixed'!$B$10,'E-Mixed'!J16," ")</f>
        <v>531.49617045556624</v>
      </c>
      <c r="K16" s="27">
        <f>IF('E-Mixed'!A16&lt;'Adj-Mixed'!$B$10,'E-Mixed'!N16," ")</f>
        <v>7.9959833626174932</v>
      </c>
      <c r="L16" s="26">
        <f>IF('E-Mixed'!A16&lt;'Adj-Mixed'!$B$10,'E-Mixed'!K16," ")</f>
        <v>0.52274647098037408</v>
      </c>
      <c r="M16" s="30">
        <f>IF('E-Mixed'!A16&lt;'Adj-Mixed'!$B$10,'E-Mixed'!M16," ")</f>
        <v>1.0167379407818531</v>
      </c>
      <c r="N16">
        <f>IF('E-Mixed'!A16&lt;'Adj-Mixed'!$B$10,1/L16," ")</f>
        <v>1.9129732203157119</v>
      </c>
      <c r="P16">
        <f t="shared" si="2"/>
        <v>1.1717484808123342</v>
      </c>
      <c r="Q16">
        <f t="shared" si="3"/>
        <v>2.2415234647396138</v>
      </c>
      <c r="R16" s="100">
        <f t="shared" si="1"/>
        <v>36.240301625999898</v>
      </c>
    </row>
    <row r="17" spans="1:18" x14ac:dyDescent="0.25">
      <c r="A17" s="27">
        <f>IF('E-Mixed'!A17&lt;'Adj-Mixed'!$B$10,'E-Mixed'!B17," ")</f>
        <v>9.3133104555020658</v>
      </c>
      <c r="B17" s="217">
        <f>IF('E-Mixed'!A17&lt;'Adj-Mixed'!$B$10,'E-Mixed'!A17," ")</f>
        <v>35</v>
      </c>
      <c r="C17" s="25">
        <f>IF('E-Mixed'!A17&lt;'Adj-Mixed'!$B$10,'E-Mixed'!C17," ")</f>
        <v>355.61348660902684</v>
      </c>
      <c r="D17" s="27">
        <f>IF('E-Mixed'!A17&lt;'Adj-Mixed'!$B$10,'E-Mixed'!G17," ")</f>
        <v>3.6216331218665694</v>
      </c>
      <c r="E17" s="26">
        <f>IF('E-Mixed'!A17&lt;'Adj-Mixed'!$B$10,'E-Mixed'!D17," ")</f>
        <v>0.82269365861505006</v>
      </c>
      <c r="F17" s="216"/>
      <c r="G17" s="216">
        <f t="shared" si="0"/>
        <v>35</v>
      </c>
      <c r="H17" s="27">
        <f>IF('E-Mixed'!A17&lt;'Adj-Mixed'!$B$10,'E-Mixed'!I17," ")</f>
        <v>16.997236812287344</v>
      </c>
      <c r="I17" s="217">
        <f>IF('E-Mixed'!A17&lt;'Adj-Mixed'!$B$10,'E-Mixed'!A17," ")</f>
        <v>35</v>
      </c>
      <c r="J17" s="25">
        <f>IF('E-Mixed'!A17&lt;'Adj-Mixed'!$B$10,'E-Mixed'!J17," ")</f>
        <v>558.91250823519454</v>
      </c>
      <c r="K17" s="27">
        <f>IF('E-Mixed'!A17&lt;'Adj-Mixed'!$B$10,'E-Mixed'!N17," ")</f>
        <v>9.0796755712620332</v>
      </c>
      <c r="L17" s="26">
        <f>IF('E-Mixed'!A17&lt;'Adj-Mixed'!$B$10,'E-Mixed'!K17," ")</f>
        <v>0.51574838665147449</v>
      </c>
      <c r="M17" s="30">
        <f>IF('E-Mixed'!A17&lt;'Adj-Mixed'!$B$10,'E-Mixed'!M17," ")</f>
        <v>1.08369220864454</v>
      </c>
      <c r="N17">
        <f>IF('E-Mixed'!A17&lt;'Adj-Mixed'!$B$10,1/L17," ")</f>
        <v>1.9389299625202057</v>
      </c>
      <c r="P17">
        <f t="shared" si="2"/>
        <v>1.23219115928955</v>
      </c>
      <c r="Q17">
        <f t="shared" si="3"/>
        <v>2.3891323582990163</v>
      </c>
      <c r="R17" s="100">
        <f t="shared" si="1"/>
        <v>37.472492785289454</v>
      </c>
    </row>
    <row r="18" spans="1:18" x14ac:dyDescent="0.25">
      <c r="A18" s="27">
        <f>IF('E-Mixed'!A18&lt;'Adj-Mixed'!$B$10,'E-Mixed'!B18," ")</f>
        <v>9.6857863884034927</v>
      </c>
      <c r="B18" s="217">
        <f>IF('E-Mixed'!A18&lt;'Adj-Mixed'!$B$10,'E-Mixed'!A18," ")</f>
        <v>36</v>
      </c>
      <c r="C18" s="25">
        <f>IF('E-Mixed'!A18&lt;'Adj-Mixed'!$B$10,'E-Mixed'!C18," ")</f>
        <v>372.47593290142686</v>
      </c>
      <c r="D18" s="27">
        <f>IF('E-Mixed'!A18&lt;'Adj-Mixed'!$B$10,'E-Mixed'!G18," ")</f>
        <v>4.0805943874064123</v>
      </c>
      <c r="E18" s="26">
        <f>IF('E-Mixed'!A18&lt;'Adj-Mixed'!$B$10,'E-Mixed'!D18," ")</f>
        <v>0.81156289401309423</v>
      </c>
      <c r="F18" s="216"/>
      <c r="G18" s="216">
        <f t="shared" si="0"/>
        <v>36</v>
      </c>
      <c r="H18" s="27">
        <f>IF('E-Mixed'!A18&lt;'Adj-Mixed'!$B$10,'E-Mixed'!I18," ")</f>
        <v>17.582651780376171</v>
      </c>
      <c r="I18" s="217">
        <f>IF('E-Mixed'!A18&lt;'Adj-Mixed'!$B$10,'E-Mixed'!A18," ")</f>
        <v>36</v>
      </c>
      <c r="J18" s="25">
        <f>IF('E-Mixed'!A18&lt;'Adj-Mixed'!$B$10,'E-Mixed'!J18," ")</f>
        <v>585.41496808882857</v>
      </c>
      <c r="K18" s="27">
        <f>IF('E-Mixed'!A18&lt;'Adj-Mixed'!$B$10,'E-Mixed'!N18," ")</f>
        <v>10.230322047769254</v>
      </c>
      <c r="L18" s="26">
        <f>IF('E-Mixed'!A18&lt;'Adj-Mixed'!$B$10,'E-Mixed'!K18," ")</f>
        <v>0.50877048688825033</v>
      </c>
      <c r="M18" s="30">
        <f>IF('E-Mixed'!A18&lt;'Adj-Mixed'!$B$10,'E-Mixed'!M18," ")</f>
        <v>1.1506464765072211</v>
      </c>
      <c r="N18">
        <f>IF('E-Mixed'!A18&lt;'Adj-Mixed'!$B$10,1/L18," ")</f>
        <v>1.9655228158304052</v>
      </c>
      <c r="P18">
        <f t="shared" si="2"/>
        <v>1.2906190818175107</v>
      </c>
      <c r="Q18">
        <f t="shared" si="3"/>
        <v>2.5367412518584054</v>
      </c>
      <c r="R18" s="100">
        <f t="shared" si="1"/>
        <v>38.763111867106957</v>
      </c>
    </row>
    <row r="19" spans="1:18" x14ac:dyDescent="0.25">
      <c r="A19" s="27">
        <f>IF('E-Mixed'!A19&lt;'Adj-Mixed'!$B$10,'E-Mixed'!B19," ")</f>
        <v>10.074543303932067</v>
      </c>
      <c r="B19" s="217">
        <f>IF('E-Mixed'!A19&lt;'Adj-Mixed'!$B$10,'E-Mixed'!A19," ")</f>
        <v>37</v>
      </c>
      <c r="C19" s="25">
        <f>IF('E-Mixed'!A19&lt;'Adj-Mixed'!$B$10,'E-Mixed'!C19," ")</f>
        <v>388.75691552857461</v>
      </c>
      <c r="D19" s="27">
        <f>IF('E-Mixed'!A19&lt;'Adj-Mixed'!$B$10,'E-Mixed'!G19," ")</f>
        <v>4.5662618708324212</v>
      </c>
      <c r="E19" s="26">
        <f>IF('E-Mixed'!A19&lt;'Adj-Mixed'!$B$10,'E-Mixed'!D19," ")</f>
        <v>0.80045901526327234</v>
      </c>
      <c r="F19" s="216"/>
      <c r="G19" s="216">
        <f t="shared" si="0"/>
        <v>37</v>
      </c>
      <c r="H19" s="27">
        <f>IF('E-Mixed'!A19&lt;'Adj-Mixed'!$B$10,'E-Mixed'!I19," ")</f>
        <v>18.193655330392652</v>
      </c>
      <c r="I19" s="217">
        <f>IF('E-Mixed'!A19&lt;'Adj-Mixed'!$B$10,'E-Mixed'!A19," ")</f>
        <v>37</v>
      </c>
      <c r="J19" s="25">
        <f>IF('E-Mixed'!A19&lt;'Adj-Mixed'!$B$10,'E-Mixed'!J19," ")</f>
        <v>611.00355001647972</v>
      </c>
      <c r="K19" s="27">
        <f>IF('E-Mixed'!A19&lt;'Adj-Mixed'!$B$10,'E-Mixed'!N19," ")</f>
        <v>11.44792279213916</v>
      </c>
      <c r="L19" s="26">
        <f>IF('E-Mixed'!A19&lt;'Adj-Mixed'!$B$10,'E-Mixed'!K19," ")</f>
        <v>0.50180944192233312</v>
      </c>
      <c r="M19" s="30">
        <f>IF('E-Mixed'!A19&lt;'Adj-Mixed'!$B$10,'E-Mixed'!M19," ")</f>
        <v>1.2176007443699057</v>
      </c>
      <c r="N19">
        <f>IF('E-Mixed'!A19&lt;'Adj-Mixed'!$B$10,1/L19," ")</f>
        <v>1.9927883305048963</v>
      </c>
      <c r="P19">
        <f t="shared" si="2"/>
        <v>1.3470322483962411</v>
      </c>
      <c r="Q19">
        <f t="shared" si="3"/>
        <v>2.6843501454178025</v>
      </c>
      <c r="R19" s="100">
        <f t="shared" si="1"/>
        <v>40.110144115503203</v>
      </c>
    </row>
    <row r="20" spans="1:18" x14ac:dyDescent="0.25">
      <c r="A20" s="27">
        <f>IF('E-Mixed'!A20&lt;'Adj-Mixed'!$B$10,'E-Mixed'!B20," ")</f>
        <v>10.478999738422534</v>
      </c>
      <c r="B20" s="217">
        <f>IF('E-Mixed'!A20&lt;'Adj-Mixed'!$B$10,'E-Mixed'!A20," ")</f>
        <v>38</v>
      </c>
      <c r="C20" s="25">
        <f>IF('E-Mixed'!A20&lt;'Adj-Mixed'!$B$10,'E-Mixed'!C20," ")</f>
        <v>404.45643449046645</v>
      </c>
      <c r="D20" s="27">
        <f>IF('E-Mixed'!A20&lt;'Adj-Mixed'!$B$10,'E-Mixed'!G20," ")</f>
        <v>5.0786355721445959</v>
      </c>
      <c r="E20" s="26">
        <f>IF('E-Mixed'!A20&lt;'Adj-Mixed'!$B$10,'E-Mixed'!D20," ")</f>
        <v>0.78937781828900255</v>
      </c>
      <c r="F20" s="216"/>
      <c r="G20" s="216">
        <f t="shared" si="0"/>
        <v>38</v>
      </c>
      <c r="H20" s="27">
        <f>IF('E-Mixed'!A20&lt;'Adj-Mixed'!$B$10,'E-Mixed'!I20," ")</f>
        <v>18.829333584410794</v>
      </c>
      <c r="I20" s="217">
        <f>IF('E-Mixed'!A20&lt;'Adj-Mixed'!$B$10,'E-Mixed'!A20," ")</f>
        <v>38</v>
      </c>
      <c r="J20" s="25">
        <f>IF('E-Mixed'!A20&lt;'Adj-Mixed'!$B$10,'E-Mixed'!J20," ")</f>
        <v>635.67825401814241</v>
      </c>
      <c r="K20" s="27">
        <f>IF('E-Mixed'!A20&lt;'Adj-Mixed'!$B$10,'E-Mixed'!N20," ")</f>
        <v>12.732477804371753</v>
      </c>
      <c r="L20" s="26">
        <f>IF('E-Mixed'!A20&lt;'Adj-Mixed'!$B$10,'E-Mixed'!K20," ")</f>
        <v>0.49486261620926292</v>
      </c>
      <c r="M20" s="30">
        <f>IF('E-Mixed'!A20&lt;'Adj-Mixed'!$B$10,'E-Mixed'!M20," ")</f>
        <v>1.2845550122325924</v>
      </c>
      <c r="N20">
        <f>IF('E-Mixed'!A20&lt;'Adj-Mixed'!$B$10,1/L20," ")</f>
        <v>2.0207628688143404</v>
      </c>
      <c r="P20">
        <f t="shared" si="2"/>
        <v>1.4014306590257293</v>
      </c>
      <c r="Q20">
        <f t="shared" si="3"/>
        <v>2.831959038977204</v>
      </c>
      <c r="R20" s="100">
        <f t="shared" si="1"/>
        <v>41.511574774528931</v>
      </c>
    </row>
    <row r="21" spans="1:18" x14ac:dyDescent="0.25">
      <c r="A21" s="27">
        <f>IF('E-Mixed'!A21&lt;'Adj-Mixed'!$B$10,'E-Mixed'!B21," ")</f>
        <v>10.898574228209638</v>
      </c>
      <c r="B21" s="217">
        <f>IF('E-Mixed'!A21&lt;'Adj-Mixed'!$B$10,'E-Mixed'!A21," ")</f>
        <v>39</v>
      </c>
      <c r="C21" s="25">
        <f>IF('E-Mixed'!A21&lt;'Adj-Mixed'!$B$10,'E-Mixed'!C21," ")</f>
        <v>419.57448978710408</v>
      </c>
      <c r="D21" s="27">
        <f>IF('E-Mixed'!A21&lt;'Adj-Mixed'!$B$10,'E-Mixed'!G21," ")</f>
        <v>5.6177154913429366</v>
      </c>
      <c r="E21" s="26">
        <f>IF('E-Mixed'!A21&lt;'Adj-Mixed'!$B$10,'E-Mixed'!D21," ")</f>
        <v>0.77831593209973204</v>
      </c>
      <c r="F21" s="216"/>
      <c r="G21" s="216">
        <f t="shared" si="0"/>
        <v>39</v>
      </c>
      <c r="H21" s="27">
        <f>IF('E-Mixed'!A21&lt;'Adj-Mixed'!$B$10,'E-Mixed'!I21," ")</f>
        <v>19.488772664504612</v>
      </c>
      <c r="I21" s="217">
        <f>IF('E-Mixed'!A21&lt;'Adj-Mixed'!$B$10,'E-Mixed'!A21," ")</f>
        <v>39</v>
      </c>
      <c r="J21" s="25">
        <f>IF('E-Mixed'!A21&lt;'Adj-Mixed'!$B$10,'E-Mixed'!J21," ")</f>
        <v>659.43908009381926</v>
      </c>
      <c r="K21" s="27">
        <f>IF('E-Mixed'!A21&lt;'Adj-Mixed'!$B$10,'E-Mixed'!N21," ")</f>
        <v>14.083987084467024</v>
      </c>
      <c r="L21" s="26">
        <f>IF('E-Mixed'!A21&lt;'Adj-Mixed'!$B$10,'E-Mixed'!K21," ")</f>
        <v>0.48792789646796492</v>
      </c>
      <c r="M21" s="30">
        <f>IF('E-Mixed'!A21&lt;'Adj-Mixed'!$B$10,'E-Mixed'!M21," ")</f>
        <v>1.351509280095271</v>
      </c>
      <c r="N21">
        <f>IF('E-Mixed'!A21&lt;'Adj-Mixed'!$B$10,1/L21," ")</f>
        <v>2.0494831454377715</v>
      </c>
      <c r="P21">
        <f t="shared" si="2"/>
        <v>1.4538143137059807</v>
      </c>
      <c r="Q21">
        <f t="shared" si="3"/>
        <v>2.9795679325365878</v>
      </c>
      <c r="R21" s="100">
        <f t="shared" si="1"/>
        <v>42.965389088234915</v>
      </c>
    </row>
    <row r="22" spans="1:18" x14ac:dyDescent="0.25">
      <c r="A22" s="27">
        <f>IF('E-Mixed'!A22&lt;'Adj-Mixed'!$B$10,'E-Mixed'!B22," ")</f>
        <v>11.33268530962812</v>
      </c>
      <c r="B22" s="217">
        <f>IF('E-Mixed'!A22&lt;'Adj-Mixed'!$B$10,'E-Mixed'!A22," ")</f>
        <v>40</v>
      </c>
      <c r="C22" s="25">
        <f>IF('E-Mixed'!A22&lt;'Adj-Mixed'!$B$10,'E-Mixed'!C22," ")</f>
        <v>434.11108141848229</v>
      </c>
      <c r="D22" s="27">
        <f>IF('E-Mixed'!A22&lt;'Adj-Mixed'!$B$10,'E-Mixed'!G22," ")</f>
        <v>6.1835016284274431</v>
      </c>
      <c r="E22" s="26">
        <f>IF('E-Mixed'!A22&lt;'Adj-Mixed'!$B$10,'E-Mixed'!D22," ")</f>
        <v>0.76727062217440412</v>
      </c>
      <c r="F22" s="216"/>
      <c r="G22" s="216">
        <f t="shared" si="0"/>
        <v>40</v>
      </c>
      <c r="H22" s="27">
        <f>IF('E-Mixed'!A22&lt;'Adj-Mixed'!$B$10,'E-Mixed'!I22," ")</f>
        <v>20.171058692748115</v>
      </c>
      <c r="I22" s="217">
        <f>IF('E-Mixed'!A22&lt;'Adj-Mixed'!$B$10,'E-Mixed'!A22," ")</f>
        <v>40</v>
      </c>
      <c r="J22" s="25">
        <f>IF('E-Mixed'!A22&lt;'Adj-Mixed'!$B$10,'E-Mixed'!J22," ")</f>
        <v>682.28602824350196</v>
      </c>
      <c r="K22" s="27">
        <f>IF('E-Mixed'!A22&lt;'Adj-Mixed'!$B$10,'E-Mixed'!N22," ")</f>
        <v>15.502450632424981</v>
      </c>
      <c r="L22" s="26">
        <f>IF('E-Mixed'!A22&lt;'Adj-Mixed'!$B$10,'E-Mixed'!K22," ")</f>
        <v>0.48100356842143144</v>
      </c>
      <c r="M22" s="30">
        <f>IF('E-Mixed'!A22&lt;'Adj-Mixed'!$B$10,'E-Mixed'!M22," ")</f>
        <v>1.4184635479579577</v>
      </c>
      <c r="N22">
        <f>IF('E-Mixed'!A22&lt;'Adj-Mixed'!$B$10,1/L22," ")</f>
        <v>2.0789866555082388</v>
      </c>
      <c r="P22">
        <f t="shared" si="2"/>
        <v>1.5041832124369772</v>
      </c>
      <c r="Q22">
        <f t="shared" si="3"/>
        <v>3.1271768260959893</v>
      </c>
      <c r="R22" s="100">
        <f t="shared" si="1"/>
        <v>44.469572300671892</v>
      </c>
    </row>
    <row r="23" spans="1:18" x14ac:dyDescent="0.25">
      <c r="A23" s="27">
        <f>IF('E-Mixed'!A23&lt;'Adj-Mixed'!$B$10,'E-Mixed'!B23," ")</f>
        <v>11.780751519012732</v>
      </c>
      <c r="B23" s="217">
        <f>IF('E-Mixed'!A23&lt;'Adj-Mixed'!$B$10,'E-Mixed'!A23," ")</f>
        <v>41</v>
      </c>
      <c r="C23" s="25">
        <f>IF('E-Mixed'!A23&lt;'Adj-Mixed'!$B$10,'E-Mixed'!C23," ")</f>
        <v>448.06620938461174</v>
      </c>
      <c r="D23" s="27">
        <f>IF('E-Mixed'!A23&lt;'Adj-Mixed'!$B$10,'E-Mixed'!G23," ")</f>
        <v>6.7706527398208829</v>
      </c>
      <c r="E23" s="26">
        <f>IF('E-Mixed'!A23&lt;'Adj-Mixed'!$B$10,'E-Mixed'!D23," ")</f>
        <v>0.76311906882242153</v>
      </c>
      <c r="F23" s="216"/>
      <c r="G23" s="216">
        <f t="shared" si="0"/>
        <v>41</v>
      </c>
      <c r="H23" s="27">
        <f>IF('E-Mixed'!A23&lt;'Adj-Mixed'!$B$10,'E-Mixed'!I23," ")</f>
        <v>20.875277791215321</v>
      </c>
      <c r="I23" s="217">
        <f>IF('E-Mixed'!A23&lt;'Adj-Mixed'!$B$10,'E-Mixed'!A23," ")</f>
        <v>41</v>
      </c>
      <c r="J23" s="25">
        <f>IF('E-Mixed'!A23&lt;'Adj-Mixed'!$B$10,'E-Mixed'!J23," ")</f>
        <v>704.21909846720735</v>
      </c>
      <c r="K23" s="27">
        <f>IF('E-Mixed'!A23&lt;'Adj-Mixed'!$B$10,'E-Mixed'!N23," ")</f>
        <v>16.974477594673086</v>
      </c>
      <c r="L23" s="26">
        <f>IF('E-Mixed'!A23&lt;'Adj-Mixed'!$B$10,'E-Mixed'!K23," ")</f>
        <v>0.47840095088456236</v>
      </c>
      <c r="M23" s="30">
        <f>IF('E-Mixed'!A23&lt;'Adj-Mixed'!$B$10,'E-Mixed'!M23," ")</f>
        <v>1.4720269622481053</v>
      </c>
      <c r="N23">
        <f>IF('E-Mixed'!A23&lt;'Adj-Mixed'!$B$10,1/L23," ")</f>
        <v>2.0902968485973994</v>
      </c>
      <c r="P23">
        <f t="shared" si="2"/>
        <v>1.5525373552187558</v>
      </c>
      <c r="Q23">
        <f t="shared" si="3"/>
        <v>3.2452639409435067</v>
      </c>
      <c r="R23" s="100">
        <f t="shared" si="1"/>
        <v>46.022109655890638</v>
      </c>
    </row>
    <row r="24" spans="1:18" x14ac:dyDescent="0.25">
      <c r="A24" s="27">
        <f>IF('E-Mixed'!A24&lt;'Adj-Mixed'!$B$10,'E-Mixed'!B24," ")</f>
        <v>12.242191392698214</v>
      </c>
      <c r="B24" s="217">
        <f>IF('E-Mixed'!A24&lt;'Adj-Mixed'!$B$10,'E-Mixed'!A24," ")</f>
        <v>42</v>
      </c>
      <c r="C24" s="25">
        <f>IF('E-Mixed'!A24&lt;'Adj-Mixed'!$B$10,'E-Mixed'!C24," ")</f>
        <v>461.43987368548164</v>
      </c>
      <c r="D24" s="27">
        <f>IF('E-Mixed'!A24&lt;'Adj-Mixed'!$B$10,'E-Mixed'!G24," ")</f>
        <v>7.3791688255232559</v>
      </c>
      <c r="E24" s="26">
        <f>IF('E-Mixed'!A24&lt;'Adj-Mixed'!$B$10,'E-Mixed'!D24," ")</f>
        <v>0.75830349357629412</v>
      </c>
      <c r="F24" s="216"/>
      <c r="G24" s="216">
        <f t="shared" si="0"/>
        <v>42</v>
      </c>
      <c r="H24" s="27">
        <f>IF('E-Mixed'!A24&lt;'Adj-Mixed'!$B$10,'E-Mixed'!I24," ")</f>
        <v>21.600516081980238</v>
      </c>
      <c r="I24" s="217">
        <f>IF('E-Mixed'!A24&lt;'Adj-Mixed'!$B$10,'E-Mixed'!A24," ")</f>
        <v>42</v>
      </c>
      <c r="J24" s="25">
        <f>IF('E-Mixed'!A24&lt;'Adj-Mixed'!$B$10,'E-Mixed'!J24," ")</f>
        <v>725.23829076491859</v>
      </c>
      <c r="K24" s="27">
        <f>IF('E-Mixed'!A24&lt;'Adj-Mixed'!$B$10,'E-Mixed'!N24," ")</f>
        <v>18.50006797121134</v>
      </c>
      <c r="L24" s="26">
        <f>IF('E-Mixed'!A24&lt;'Adj-Mixed'!$B$10,'E-Mixed'!K24," ")</f>
        <v>0.47538205662424921</v>
      </c>
      <c r="M24" s="30">
        <f>IF('E-Mixed'!A24&lt;'Adj-Mixed'!$B$10,'E-Mixed'!M24," ")</f>
        <v>1.5255903765382555</v>
      </c>
      <c r="N24">
        <f>IF('E-Mixed'!A24&lt;'Adj-Mixed'!$B$10,1/L24," ")</f>
        <v>2.10357119303394</v>
      </c>
      <c r="P24">
        <f t="shared" si="2"/>
        <v>1.5988767420512795</v>
      </c>
      <c r="Q24">
        <f t="shared" si="3"/>
        <v>3.3633510557910298</v>
      </c>
      <c r="R24" s="100">
        <f t="shared" si="1"/>
        <v>47.62098639794192</v>
      </c>
    </row>
    <row r="25" spans="1:18" x14ac:dyDescent="0.25">
      <c r="A25" s="27">
        <f>IF('E-Mixed'!A25&lt;'Adj-Mixed'!$B$10,'E-Mixed'!B25," ")</f>
        <v>12.713963679156505</v>
      </c>
      <c r="B25" s="217">
        <f>IF('E-Mixed'!A25&lt;'Adj-Mixed'!$B$10,'E-Mixed'!A25," ")</f>
        <v>43</v>
      </c>
      <c r="C25" s="25">
        <f>IF('E-Mixed'!A25&lt;'Adj-Mixed'!$B$10,'E-Mixed'!C25," ")</f>
        <v>471.77228645829138</v>
      </c>
      <c r="D25" s="27">
        <f>IF('E-Mixed'!A25&lt;'Adj-Mixed'!$B$10,'E-Mixed'!G25," ")</f>
        <v>8.0090498855345622</v>
      </c>
      <c r="E25" s="26">
        <f>IF('E-Mixed'!A25&lt;'Adj-Mixed'!$B$10,'E-Mixed'!D25," ")</f>
        <v>0.74898630298524072</v>
      </c>
      <c r="F25" s="216"/>
      <c r="G25" s="216">
        <f t="shared" si="0"/>
        <v>43</v>
      </c>
      <c r="H25" s="27">
        <f>IF('E-Mixed'!A25&lt;'Adj-Mixed'!$B$10,'E-Mixed'!I25," ")</f>
        <v>22.341993674561405</v>
      </c>
      <c r="I25" s="217">
        <f>IF('E-Mixed'!A25&lt;'Adj-Mixed'!$B$10,'E-Mixed'!A25," ")</f>
        <v>43</v>
      </c>
      <c r="J25" s="25">
        <f>IF('E-Mixed'!A25&lt;'Adj-Mixed'!$B$10,'E-Mixed'!J25," ")</f>
        <v>741.47759258116707</v>
      </c>
      <c r="K25" s="27">
        <f>IF('E-Mixed'!A25&lt;'Adj-Mixed'!$B$10,'E-Mixed'!N25," ")</f>
        <v>20.079221762039737</v>
      </c>
      <c r="L25" s="26">
        <f>IF('E-Mixed'!A25&lt;'Adj-Mixed'!$B$10,'E-Mixed'!K25," ")</f>
        <v>0.4695410902266845</v>
      </c>
      <c r="M25" s="30">
        <f>IF('E-Mixed'!A25&lt;'Adj-Mixed'!$B$10,'E-Mixed'!M25," ")</f>
        <v>1.5791537908283968</v>
      </c>
      <c r="N25">
        <f>IF('E-Mixed'!A25&lt;'Adj-Mixed'!$B$10,1/L25," ")</f>
        <v>2.1297390597215275</v>
      </c>
      <c r="P25">
        <f t="shared" si="2"/>
        <v>1.6346782741984109</v>
      </c>
      <c r="Q25">
        <f t="shared" si="3"/>
        <v>3.4814381706385333</v>
      </c>
      <c r="R25" s="100">
        <f t="shared" si="1"/>
        <v>49.255664672140327</v>
      </c>
    </row>
    <row r="26" spans="1:18" x14ac:dyDescent="0.25">
      <c r="A26" s="27">
        <f>IF('E-Mixed'!A26&lt;'Adj-Mixed'!$B$10,'E-Mixed'!B26," ")</f>
        <v>13.196299738440771</v>
      </c>
      <c r="B26" s="217">
        <f>IF('E-Mixed'!A26&lt;'Adj-Mixed'!$B$10,'E-Mixed'!A26," ")</f>
        <v>44</v>
      </c>
      <c r="C26" s="25">
        <f>IF('E-Mixed'!A26&lt;'Adj-Mixed'!$B$10,'E-Mixed'!C26," ")</f>
        <v>482.33605928426647</v>
      </c>
      <c r="D26" s="27">
        <f>IF('E-Mixed'!A26&lt;'Adj-Mixed'!$B$10,'E-Mixed'!G26," ")</f>
        <v>8.6602959198548</v>
      </c>
      <c r="E26" s="26">
        <f>IF('E-Mixed'!A26&lt;'Adj-Mixed'!$B$10,'E-Mixed'!D26," ")</f>
        <v>0.7406356950606573</v>
      </c>
      <c r="F26" s="216"/>
      <c r="G26" s="216">
        <f t="shared" si="0"/>
        <v>44</v>
      </c>
      <c r="H26" s="27">
        <f>IF('E-Mixed'!A26&lt;'Adj-Mixed'!$B$10,'E-Mixed'!I26," ")</f>
        <v>23.10007419416565</v>
      </c>
      <c r="I26" s="217">
        <f>IF('E-Mixed'!A26&lt;'Adj-Mixed'!$B$10,'E-Mixed'!A26," ")</f>
        <v>44</v>
      </c>
      <c r="J26" s="25">
        <f>IF('E-Mixed'!A26&lt;'Adj-Mixed'!$B$10,'E-Mixed'!J26," ")</f>
        <v>758.08051960424666</v>
      </c>
      <c r="K26" s="27">
        <f>IF('E-Mixed'!A26&lt;'Adj-Mixed'!$B$10,'E-Mixed'!N26," ")</f>
        <v>21.711938967158282</v>
      </c>
      <c r="L26" s="26">
        <f>IF('E-Mixed'!A26&lt;'Adj-Mixed'!$B$10,'E-Mixed'!K26," ")</f>
        <v>0.46430607653773354</v>
      </c>
      <c r="M26" s="30">
        <f>IF('E-Mixed'!A26&lt;'Adj-Mixed'!$B$10,'E-Mixed'!M26," ")</f>
        <v>1.6327172051185472</v>
      </c>
      <c r="N26">
        <f>IF('E-Mixed'!A26&lt;'Adj-Mixed'!$B$10,1/L26," ")</f>
        <v>2.1537516964172907</v>
      </c>
      <c r="P26">
        <f t="shared" si="2"/>
        <v>1.6712814627023964</v>
      </c>
      <c r="Q26">
        <f t="shared" si="3"/>
        <v>3.5995252854860569</v>
      </c>
      <c r="R26" s="100">
        <f t="shared" si="1"/>
        <v>50.926946134842723</v>
      </c>
    </row>
    <row r="27" spans="1:18" x14ac:dyDescent="0.25">
      <c r="A27" s="27">
        <f>IF('E-Mixed'!A27&lt;'Adj-Mixed'!$B$10,'E-Mixed'!B27," ")</f>
        <v>13.689436111143843</v>
      </c>
      <c r="B27" s="217">
        <f>IF('E-Mixed'!A27&lt;'Adj-Mixed'!$B$10,'E-Mixed'!A27," ")</f>
        <v>45</v>
      </c>
      <c r="C27" s="25">
        <f>IF('E-Mixed'!A27&lt;'Adj-Mixed'!$B$10,'E-Mixed'!C27," ")</f>
        <v>493.13637270307174</v>
      </c>
      <c r="D27" s="27">
        <f>IF('E-Mixed'!A27&lt;'Adj-Mixed'!$B$10,'E-Mixed'!G27," ")</f>
        <v>9.3329069284839719</v>
      </c>
      <c r="E27" s="26">
        <f>IF('E-Mixed'!A27&lt;'Adj-Mixed'!$B$10,'E-Mixed'!D27," ")</f>
        <v>0.7331672636582599</v>
      </c>
      <c r="F27" s="216"/>
      <c r="G27" s="216">
        <f t="shared" si="0"/>
        <v>45</v>
      </c>
      <c r="H27" s="27">
        <f>IF('E-Mixed'!A27&lt;'Adj-Mixed'!$B$10,'E-Mixed'!I27," ")</f>
        <v>23.875129408178118</v>
      </c>
      <c r="I27" s="217">
        <f>IF('E-Mixed'!A27&lt;'Adj-Mixed'!$B$10,'E-Mixed'!A27," ")</f>
        <v>45</v>
      </c>
      <c r="J27" s="25">
        <f>IF('E-Mixed'!A27&lt;'Adj-Mixed'!$B$10,'E-Mixed'!J27," ")</f>
        <v>775.05521401246892</v>
      </c>
      <c r="K27" s="27">
        <f>IF('E-Mixed'!A27&lt;'Adj-Mixed'!$B$10,'E-Mixed'!N27," ")</f>
        <v>23.398219586566977</v>
      </c>
      <c r="L27" s="26">
        <f>IF('E-Mixed'!A27&lt;'Adj-Mixed'!$B$10,'E-Mixed'!K27," ")</f>
        <v>0.45962410116783953</v>
      </c>
      <c r="M27" s="30">
        <f>IF('E-Mixed'!A27&lt;'Adj-Mixed'!$B$10,'E-Mixed'!M27," ")</f>
        <v>1.6862806194086946</v>
      </c>
      <c r="N27">
        <f>IF('E-Mixed'!A27&lt;'Adj-Mixed'!$B$10,1/L27," ")</f>
        <v>2.1756909558466191</v>
      </c>
      <c r="P27">
        <f t="shared" si="2"/>
        <v>1.7087042579937333</v>
      </c>
      <c r="Q27">
        <f t="shared" si="3"/>
        <v>3.7176124003335738</v>
      </c>
      <c r="R27" s="100">
        <f t="shared" si="1"/>
        <v>52.635650392836453</v>
      </c>
    </row>
    <row r="28" spans="1:18" x14ac:dyDescent="0.25">
      <c r="A28" s="27">
        <f>IF('E-Mixed'!A28&lt;'Adj-Mixed'!$B$10,'E-Mixed'!B28," ")</f>
        <v>14.19361463439918</v>
      </c>
      <c r="B28" s="217">
        <f>IF('E-Mixed'!A28&lt;'Adj-Mixed'!$B$10,'E-Mixed'!A28," ")</f>
        <v>46</v>
      </c>
      <c r="C28" s="25">
        <f>IF('E-Mixed'!A28&lt;'Adj-Mixed'!$B$10,'E-Mixed'!C28," ")</f>
        <v>504.17852325533727</v>
      </c>
      <c r="D28" s="27">
        <f>IF('E-Mixed'!A28&lt;'Adj-Mixed'!$B$10,'E-Mixed'!G28," ")</f>
        <v>10.026882911422076</v>
      </c>
      <c r="E28" s="26">
        <f>IF('E-Mixed'!A28&lt;'Adj-Mixed'!$B$10,'E-Mixed'!D28," ")</f>
        <v>0.72650716400988924</v>
      </c>
      <c r="F28" s="216"/>
      <c r="G28" s="216">
        <f t="shared" si="0"/>
        <v>46</v>
      </c>
      <c r="H28" s="27">
        <f>IF('E-Mixed'!A28&lt;'Adj-Mixed'!$B$10,'E-Mixed'!I28," ")</f>
        <v>24.667539408479282</v>
      </c>
      <c r="I28" s="217">
        <f>IF('E-Mixed'!A28&lt;'Adj-Mixed'!$B$10,'E-Mixed'!A28," ")</f>
        <v>46</v>
      </c>
      <c r="J28" s="25">
        <f>IF('E-Mixed'!A28&lt;'Adj-Mixed'!$B$10,'E-Mixed'!J28," ")</f>
        <v>792.4100003011639</v>
      </c>
      <c r="K28" s="27">
        <f>IF('E-Mixed'!A28&lt;'Adj-Mixed'!$B$10,'E-Mixed'!N28," ")</f>
        <v>25.138063620265818</v>
      </c>
      <c r="L28" s="26">
        <f>IF('E-Mixed'!A28&lt;'Adj-Mixed'!$B$10,'E-Mixed'!K28," ")</f>
        <v>0.45544887067637357</v>
      </c>
      <c r="M28" s="30">
        <f>IF('E-Mixed'!A28&lt;'Adj-Mixed'!$B$10,'E-Mixed'!M28," ")</f>
        <v>1.7398440336988417</v>
      </c>
      <c r="N28">
        <f>IF('E-Mixed'!A28&lt;'Adj-Mixed'!$B$10,1/L28," ")</f>
        <v>2.1956361391673442</v>
      </c>
      <c r="P28">
        <f t="shared" si="2"/>
        <v>1.7469650124431411</v>
      </c>
      <c r="Q28">
        <f t="shared" si="3"/>
        <v>3.8356995151810902</v>
      </c>
      <c r="R28" s="100">
        <f t="shared" si="1"/>
        <v>54.382615405279587</v>
      </c>
    </row>
    <row r="29" spans="1:18" x14ac:dyDescent="0.25">
      <c r="A29" s="27">
        <f>IF('E-Mixed'!A29&lt;'Adj-Mixed'!$B$10,'E-Mixed'!B29," ")</f>
        <v>14.70908256047932</v>
      </c>
      <c r="B29" s="217">
        <f>IF('E-Mixed'!A29&lt;'Adj-Mixed'!$B$10,'E-Mixed'!A29," ")</f>
        <v>47</v>
      </c>
      <c r="C29" s="25">
        <f>IF('E-Mixed'!A29&lt;'Adj-Mixed'!$B$10,'E-Mixed'!C29," ")</f>
        <v>515.46792608013982</v>
      </c>
      <c r="D29" s="27">
        <f>IF('E-Mixed'!A29&lt;'Adj-Mixed'!$B$10,'E-Mixed'!G29," ")</f>
        <v>10.745428614815452</v>
      </c>
      <c r="E29" s="26">
        <f>IF('E-Mixed'!A29&lt;'Adj-Mixed'!$B$10,'E-Mixed'!D29," ")</f>
        <v>0.71737667297405072</v>
      </c>
      <c r="F29" s="216"/>
      <c r="G29" s="216">
        <f t="shared" si="0"/>
        <v>47</v>
      </c>
      <c r="H29" s="27">
        <f>IF('E-Mixed'!A29&lt;'Adj-Mixed'!$B$10,'E-Mixed'!I29," ")</f>
        <v>25.477692797844384</v>
      </c>
      <c r="I29" s="217">
        <f>IF('E-Mixed'!A29&lt;'Adj-Mixed'!$B$10,'E-Mixed'!A29," ")</f>
        <v>47</v>
      </c>
      <c r="J29" s="25">
        <f>IF('E-Mixed'!A29&lt;'Adj-Mixed'!$B$10,'E-Mixed'!J29," ")</f>
        <v>810.15338936510307</v>
      </c>
      <c r="K29" s="27">
        <f>IF('E-Mixed'!A29&lt;'Adj-Mixed'!$B$10,'E-Mixed'!N29," ")</f>
        <v>26.939505580398329</v>
      </c>
      <c r="L29" s="26">
        <f>IF('E-Mixed'!A29&lt;'Adj-Mixed'!$B$10,'E-Mixed'!K29," ")</f>
        <v>0.44972494662304274</v>
      </c>
      <c r="M29" s="30">
        <f>IF('E-Mixed'!A29&lt;'Adj-Mixed'!$B$10,'E-Mixed'!M29," ")</f>
        <v>1.8014419601325111</v>
      </c>
      <c r="N29">
        <f>IF('E-Mixed'!A29&lt;'Adj-Mixed'!$B$10,1/L29," ")</f>
        <v>2.2235813412374368</v>
      </c>
      <c r="P29">
        <f t="shared" si="2"/>
        <v>1.7860824893617655</v>
      </c>
      <c r="Q29">
        <f t="shared" si="3"/>
        <v>3.9714996972557346</v>
      </c>
      <c r="R29" s="100">
        <f t="shared" si="1"/>
        <v>56.168697894641355</v>
      </c>
    </row>
    <row r="30" spans="1:18" x14ac:dyDescent="0.25">
      <c r="A30" s="27">
        <f>IF('E-Mixed'!A30&lt;'Adj-Mixed'!$B$10,'E-Mixed'!B30," ")</f>
        <v>15.236092678049905</v>
      </c>
      <c r="B30" s="217">
        <f>IF('E-Mixed'!A30&lt;'Adj-Mixed'!$B$10,'E-Mixed'!A30," ")</f>
        <v>48</v>
      </c>
      <c r="C30" s="25">
        <f>IF('E-Mixed'!A30&lt;'Adj-Mixed'!$B$10,'E-Mixed'!C30," ")</f>
        <v>527.01011757058507</v>
      </c>
      <c r="D30" s="27">
        <f>IF('E-Mixed'!A30&lt;'Adj-Mixed'!$B$10,'E-Mixed'!G30," ")</f>
        <v>11.488544038664102</v>
      </c>
      <c r="E30" s="26">
        <f>IF('E-Mixed'!A30&lt;'Adj-Mixed'!$B$10,'E-Mixed'!D30," ")</f>
        <v>0.709190121288508</v>
      </c>
      <c r="F30" s="216"/>
      <c r="G30" s="216">
        <f t="shared" si="0"/>
        <v>48</v>
      </c>
      <c r="H30" s="27">
        <f>IF('E-Mixed'!A30&lt;'Adj-Mixed'!$B$10,'E-Mixed'!I30," ")</f>
        <v>26.305986880516624</v>
      </c>
      <c r="I30" s="217">
        <f>IF('E-Mixed'!A30&lt;'Adj-Mixed'!$B$10,'E-Mixed'!A30," ")</f>
        <v>48</v>
      </c>
      <c r="J30" s="25">
        <f>IF('E-Mixed'!A30&lt;'Adj-Mixed'!$B$10,'E-Mixed'!J30," ")</f>
        <v>828.29408267223903</v>
      </c>
      <c r="K30" s="27">
        <f>IF('E-Mixed'!A30&lt;'Adj-Mixed'!$B$10,'E-Mixed'!N30," ")</f>
        <v>28.80254546696451</v>
      </c>
      <c r="L30" s="26">
        <f>IF('E-Mixed'!A30&lt;'Adj-Mixed'!$B$10,'E-Mixed'!K30," ")</f>
        <v>0.44459278013574371</v>
      </c>
      <c r="M30" s="30">
        <f>IF('E-Mixed'!A30&lt;'Adj-Mixed'!$B$10,'E-Mixed'!M30," ")</f>
        <v>1.863039886566181</v>
      </c>
      <c r="N30">
        <f>IF('E-Mixed'!A30&lt;'Adj-Mixed'!$B$10,1/L30," ")</f>
        <v>2.2492493011125338</v>
      </c>
      <c r="P30">
        <f t="shared" si="2"/>
        <v>1.8260758722026982</v>
      </c>
      <c r="Q30">
        <f t="shared" si="3"/>
        <v>4.1072998793303794</v>
      </c>
      <c r="R30" s="100">
        <f t="shared" si="1"/>
        <v>57.994773766844055</v>
      </c>
    </row>
    <row r="31" spans="1:18" x14ac:dyDescent="0.25">
      <c r="A31" s="27">
        <f>IF('E-Mixed'!A31&lt;'Adj-Mixed'!$B$10,'E-Mixed'!B31," ")</f>
        <v>15.774903436138821</v>
      </c>
      <c r="B31" s="217">
        <f>IF('E-Mixed'!A31&lt;'Adj-Mixed'!$B$10,'E-Mixed'!A31," ")</f>
        <v>49</v>
      </c>
      <c r="C31" s="25">
        <f>IF('E-Mixed'!A31&lt;'Adj-Mixed'!$B$10,'E-Mixed'!C31," ")</f>
        <v>538.81075808891592</v>
      </c>
      <c r="D31" s="27">
        <f>IF('E-Mixed'!A31&lt;'Adj-Mixed'!$B$10,'E-Mixed'!G31," ")</f>
        <v>12.256229182968024</v>
      </c>
      <c r="E31" s="26">
        <f>IF('E-Mixed'!A31&lt;'Adj-Mixed'!$B$10,'E-Mixed'!D31," ")</f>
        <v>0.70186425005979203</v>
      </c>
      <c r="F31" s="216"/>
      <c r="G31" s="216">
        <f t="shared" si="0"/>
        <v>49</v>
      </c>
      <c r="H31" s="27">
        <f>IF('E-Mixed'!A31&lt;'Adj-Mixed'!$B$10,'E-Mixed'!I31," ")</f>
        <v>27.152827857047626</v>
      </c>
      <c r="I31" s="217">
        <f>IF('E-Mixed'!A31&lt;'Adj-Mixed'!$B$10,'E-Mixed'!A31," ")</f>
        <v>49</v>
      </c>
      <c r="J31" s="25">
        <f>IF('E-Mixed'!A31&lt;'Adj-Mixed'!$B$10,'E-Mixed'!J31," ")</f>
        <v>846.84097653100184</v>
      </c>
      <c r="K31" s="27">
        <f>IF('E-Mixed'!A31&lt;'Adj-Mixed'!$B$10,'E-Mixed'!N31," ")</f>
        <v>30.727183279964361</v>
      </c>
      <c r="L31" s="26">
        <f>IF('E-Mixed'!A31&lt;'Adj-Mixed'!$B$10,'E-Mixed'!K31," ")</f>
        <v>0.44000017603887093</v>
      </c>
      <c r="M31" s="30">
        <f>IF('E-Mixed'!A31&lt;'Adj-Mixed'!$B$10,'E-Mixed'!M31," ")</f>
        <v>1.9246378129998507</v>
      </c>
      <c r="N31">
        <f>IF('E-Mixed'!A31&lt;'Adj-Mixed'!$B$10,1/L31," ")</f>
        <v>2.272726363435948</v>
      </c>
      <c r="P31">
        <f t="shared" si="2"/>
        <v>1.8669647739687549</v>
      </c>
      <c r="Q31">
        <f t="shared" si="3"/>
        <v>4.2431000614050252</v>
      </c>
      <c r="R31" s="100">
        <f t="shared" si="1"/>
        <v>59.861738540812809</v>
      </c>
    </row>
    <row r="32" spans="1:18" x14ac:dyDescent="0.25">
      <c r="A32" s="27">
        <f>IF('E-Mixed'!A32&lt;'Adj-Mixed'!$B$10,'E-Mixed'!B32," ")</f>
        <v>16.325779070881204</v>
      </c>
      <c r="B32" s="217">
        <f>IF('E-Mixed'!A32&lt;'Adj-Mixed'!$B$10,'E-Mixed'!A32," ")</f>
        <v>50</v>
      </c>
      <c r="C32" s="25">
        <f>IF('E-Mixed'!A32&lt;'Adj-Mixed'!$B$10,'E-Mixed'!C32," ")</f>
        <v>550.87563474238266</v>
      </c>
      <c r="D32" s="27">
        <f>IF('E-Mixed'!A32&lt;'Adj-Mixed'!$B$10,'E-Mixed'!G32," ")</f>
        <v>13.04848404772722</v>
      </c>
      <c r="E32" s="26">
        <f>IF('E-Mixed'!A32&lt;'Adj-Mixed'!$B$10,'E-Mixed'!D32," ")</f>
        <v>0.69532628860514312</v>
      </c>
      <c r="F32" s="216"/>
      <c r="G32" s="216">
        <f t="shared" si="0"/>
        <v>50</v>
      </c>
      <c r="H32" s="27">
        <f>IF('E-Mixed'!A32&lt;'Adj-Mixed'!$B$10,'E-Mixed'!I32," ")</f>
        <v>28.018631023500717</v>
      </c>
      <c r="I32" s="217">
        <f>IF('E-Mixed'!A32&lt;'Adj-Mixed'!$B$10,'E-Mixed'!A32," ")</f>
        <v>50</v>
      </c>
      <c r="J32" s="25">
        <f>IF('E-Mixed'!A32&lt;'Adj-Mixed'!$B$10,'E-Mixed'!J32," ")</f>
        <v>865.80316645309279</v>
      </c>
      <c r="K32" s="27">
        <f>IF('E-Mixed'!A32&lt;'Adj-Mixed'!$B$10,'E-Mixed'!N32," ")</f>
        <v>32.71341901939789</v>
      </c>
      <c r="L32" s="26">
        <f>IF('E-Mixed'!A32&lt;'Adj-Mixed'!$B$10,'E-Mixed'!K32," ")</f>
        <v>0.43590151423819395</v>
      </c>
      <c r="M32" s="30">
        <f>IF('E-Mixed'!A32&lt;'Adj-Mixed'!$B$10,'E-Mixed'!M32," ")</f>
        <v>1.9862357394335257</v>
      </c>
      <c r="N32">
        <f>IF('E-Mixed'!A32&lt;'Adj-Mixed'!$B$10,1/L32," ")</f>
        <v>2.2940961830510185</v>
      </c>
      <c r="P32">
        <f t="shared" si="2"/>
        <v>1.9087692468307893</v>
      </c>
      <c r="Q32">
        <f t="shared" si="3"/>
        <v>4.3789002434796815</v>
      </c>
      <c r="R32" s="100">
        <f t="shared" si="1"/>
        <v>61.770507787643595</v>
      </c>
    </row>
    <row r="33" spans="1:18" x14ac:dyDescent="0.25">
      <c r="A33" s="27">
        <f>IF('E-Mixed'!A33&lt;'Adj-Mixed'!$B$10,'E-Mixed'!B33," ")</f>
        <v>16.888989735102463</v>
      </c>
      <c r="B33" s="217">
        <f>IF('E-Mixed'!A33&lt;'Adj-Mixed'!$B$10,'E-Mixed'!A33," ")</f>
        <v>51</v>
      </c>
      <c r="C33" s="25">
        <f>IF('E-Mixed'!A33&lt;'Adj-Mixed'!$B$10,'E-Mixed'!C33," ")</f>
        <v>563.21066422125909</v>
      </c>
      <c r="D33" s="27">
        <f>IF('E-Mixed'!A33&lt;'Adj-Mixed'!$B$10,'E-Mixed'!G33," ")</f>
        <v>13.865308632941687</v>
      </c>
      <c r="E33" s="26">
        <f>IF('E-Mixed'!A33&lt;'Adj-Mixed'!$B$10,'E-Mixed'!D33," ")</f>
        <v>0.68951238052339492</v>
      </c>
      <c r="F33" s="216"/>
      <c r="G33" s="216">
        <f t="shared" si="0"/>
        <v>51</v>
      </c>
      <c r="H33" s="27">
        <f>IF('E-Mixed'!A33&lt;'Adj-Mixed'!$B$10,'E-Mixed'!I33," ")</f>
        <v>28.90382097511467</v>
      </c>
      <c r="I33" s="217">
        <f>IF('E-Mixed'!A33&lt;'Adj-Mixed'!$B$10,'E-Mixed'!A33," ")</f>
        <v>51</v>
      </c>
      <c r="J33" s="25">
        <f>IF('E-Mixed'!A33&lt;'Adj-Mixed'!$B$10,'E-Mixed'!J33," ")</f>
        <v>885.18995161395378</v>
      </c>
      <c r="K33" s="27">
        <f>IF('E-Mixed'!A33&lt;'Adj-Mixed'!$B$10,'E-Mixed'!N33," ")</f>
        <v>34.761252685265063</v>
      </c>
      <c r="L33" s="26">
        <f>IF('E-Mixed'!A33&lt;'Adj-Mixed'!$B$10,'E-Mixed'!K33," ")</f>
        <v>0.43225676302138089</v>
      </c>
      <c r="M33" s="30">
        <f>IF('E-Mixed'!A33&lt;'Adj-Mixed'!$B$10,'E-Mixed'!M33," ")</f>
        <v>2.0478336658671763</v>
      </c>
      <c r="N33">
        <f>IF('E-Mixed'!A33&lt;'Adj-Mixed'!$B$10,1/L33," ")</f>
        <v>2.3134398014046496</v>
      </c>
      <c r="P33">
        <f t="shared" si="2"/>
        <v>1.9515097919613458</v>
      </c>
      <c r="Q33">
        <f t="shared" si="3"/>
        <v>4.5147004255542837</v>
      </c>
      <c r="R33" s="100">
        <f t="shared" si="1"/>
        <v>63.722017579604938</v>
      </c>
    </row>
    <row r="34" spans="1:18" x14ac:dyDescent="0.25">
      <c r="A34" s="27">
        <f>IF('E-Mixed'!A34&lt;'Adj-Mixed'!$B$10,'E-Mixed'!B34," ")</f>
        <v>17.464811630802934</v>
      </c>
      <c r="B34" s="217">
        <f>IF('E-Mixed'!A34&lt;'Adj-Mixed'!$B$10,'E-Mixed'!A34," ")</f>
        <v>52</v>
      </c>
      <c r="C34" s="25">
        <f>IF('E-Mixed'!A34&lt;'Adj-Mixed'!$B$10,'E-Mixed'!C34," ")</f>
        <v>575.82189570047149</v>
      </c>
      <c r="D34" s="27">
        <f>IF('E-Mixed'!A34&lt;'Adj-Mixed'!$B$10,'E-Mixed'!G34," ")</f>
        <v>14.706702938611429</v>
      </c>
      <c r="E34" s="26">
        <f>IF('E-Mixed'!A34&lt;'Adj-Mixed'!$B$10,'E-Mixed'!D34," ")</f>
        <v>0.68436628560508661</v>
      </c>
      <c r="F34" s="216"/>
      <c r="G34" s="216">
        <f t="shared" si="0"/>
        <v>52</v>
      </c>
      <c r="H34" s="27">
        <f>IF('E-Mixed'!A34&lt;'Adj-Mixed'!$B$10,'E-Mixed'!I34," ")</f>
        <v>29.808831814527885</v>
      </c>
      <c r="I34" s="217">
        <f>IF('E-Mixed'!A34&lt;'Adj-Mixed'!$B$10,'E-Mixed'!A34," ")</f>
        <v>52</v>
      </c>
      <c r="J34" s="25">
        <f>IF('E-Mixed'!A34&lt;'Adj-Mixed'!$B$10,'E-Mixed'!J34," ")</f>
        <v>905.01083941321394</v>
      </c>
      <c r="K34" s="27">
        <f>IF('E-Mixed'!A34&lt;'Adj-Mixed'!$B$10,'E-Mixed'!N34," ")</f>
        <v>36.870684277565921</v>
      </c>
      <c r="L34" s="26">
        <f>IF('E-Mixed'!A34&lt;'Adj-Mixed'!$B$10,'E-Mixed'!K34," ")</f>
        <v>0.42903066528271488</v>
      </c>
      <c r="M34" s="30">
        <f>IF('E-Mixed'!A34&lt;'Adj-Mixed'!$B$10,'E-Mixed'!M34," ")</f>
        <v>2.1094315923008584</v>
      </c>
      <c r="N34">
        <f>IF('E-Mixed'!A34&lt;'Adj-Mixed'!$B$10,1/L34," ")</f>
        <v>2.3308357208943051</v>
      </c>
      <c r="P34">
        <f t="shared" si="2"/>
        <v>1.9952073695887211</v>
      </c>
      <c r="Q34">
        <f t="shared" si="3"/>
        <v>4.6505006076289561</v>
      </c>
      <c r="R34" s="100">
        <f t="shared" si="1"/>
        <v>65.717224949193664</v>
      </c>
    </row>
    <row r="35" spans="1:18" x14ac:dyDescent="0.25">
      <c r="A35" s="27">
        <f>IF('E-Mixed'!A35&lt;'Adj-Mixed'!$B$10,'E-Mixed'!B35," ")</f>
        <v>18.053527144609014</v>
      </c>
      <c r="B35" s="217">
        <f>IF('E-Mixed'!A35&lt;'Adj-Mixed'!$B$10,'E-Mixed'!A35," ")</f>
        <v>53</v>
      </c>
      <c r="C35" s="25">
        <f>IF('E-Mixed'!A35&lt;'Adj-Mixed'!$B$10,'E-Mixed'!C35," ")</f>
        <v>588.71551380607912</v>
      </c>
      <c r="D35" s="27">
        <f>IF('E-Mixed'!A35&lt;'Adj-Mixed'!$B$10,'E-Mixed'!G35," ")</f>
        <v>15.572666964736442</v>
      </c>
      <c r="E35" s="26">
        <f>IF('E-Mixed'!A35&lt;'Adj-Mixed'!$B$10,'E-Mixed'!D35," ")</f>
        <v>0.67983830279929724</v>
      </c>
      <c r="F35" s="216"/>
      <c r="G35" s="216">
        <f t="shared" si="0"/>
        <v>53</v>
      </c>
      <c r="H35" s="27">
        <f>IF('E-Mixed'!A35&lt;'Adj-Mixed'!$B$10,'E-Mixed'!I35," ")</f>
        <v>30.734107364664951</v>
      </c>
      <c r="I35" s="217">
        <f>IF('E-Mixed'!A35&lt;'Adj-Mixed'!$B$10,'E-Mixed'!A35," ")</f>
        <v>53</v>
      </c>
      <c r="J35" s="25">
        <f>IF('E-Mixed'!A35&lt;'Adj-Mixed'!$B$10,'E-Mixed'!J35," ")</f>
        <v>925.27555013706467</v>
      </c>
      <c r="K35" s="27">
        <f>IF('E-Mixed'!A35&lt;'Adj-Mixed'!$B$10,'E-Mixed'!N35," ")</f>
        <v>39.041713796300463</v>
      </c>
      <c r="L35" s="26">
        <f>IF('E-Mixed'!A35&lt;'Adj-Mixed'!$B$10,'E-Mixed'!K35," ")</f>
        <v>0.4261920633287351</v>
      </c>
      <c r="M35" s="30">
        <f>IF('E-Mixed'!A35&lt;'Adj-Mixed'!$B$10,'E-Mixed'!M35," ")</f>
        <v>2.1710295187345405</v>
      </c>
      <c r="N35">
        <f>IF('E-Mixed'!A35&lt;'Adj-Mixed'!$B$10,1/L35," ")</f>
        <v>2.3463599772121264</v>
      </c>
      <c r="P35">
        <f t="shared" si="2"/>
        <v>2.0398834092757436</v>
      </c>
      <c r="Q35">
        <f t="shared" si="3"/>
        <v>4.7863007897036285</v>
      </c>
      <c r="R35" s="100">
        <f t="shared" si="1"/>
        <v>67.757108358469409</v>
      </c>
    </row>
    <row r="36" spans="1:18" x14ac:dyDescent="0.25">
      <c r="A36" s="27">
        <f>IF('E-Mixed'!A36&lt;'Adj-Mixed'!$B$10,'E-Mixed'!B36," ")</f>
        <v>18.655424986257323</v>
      </c>
      <c r="B36" s="217">
        <f>IF('E-Mixed'!A36&lt;'Adj-Mixed'!$B$10,'E-Mixed'!A36," ")</f>
        <v>54</v>
      </c>
      <c r="C36" s="25">
        <f>IF('E-Mixed'!A36&lt;'Adj-Mixed'!$B$10,'E-Mixed'!C36," ")</f>
        <v>601.8978416483094</v>
      </c>
      <c r="D36" s="27">
        <f>IF('E-Mixed'!A36&lt;'Adj-Mixed'!$B$10,'E-Mixed'!G36," ")</f>
        <v>16.463200711316727</v>
      </c>
      <c r="E36" s="26">
        <f>IF('E-Mixed'!A36&lt;'Adj-Mixed'!$B$10,'E-Mixed'!D36," ")</f>
        <v>0.67588437154643721</v>
      </c>
      <c r="F36" s="216"/>
      <c r="G36" s="216">
        <f t="shared" si="0"/>
        <v>54</v>
      </c>
      <c r="H36" s="27">
        <f>IF('E-Mixed'!A36&lt;'Adj-Mixed'!$B$10,'E-Mixed'!I36," ")</f>
        <v>31.680101386390188</v>
      </c>
      <c r="I36" s="217">
        <f>IF('E-Mixed'!A36&lt;'Adj-Mixed'!$B$10,'E-Mixed'!A36," ")</f>
        <v>54</v>
      </c>
      <c r="J36" s="25">
        <f>IF('E-Mixed'!A36&lt;'Adj-Mixed'!$B$10,'E-Mixed'!J36," ")</f>
        <v>945.99402172523571</v>
      </c>
      <c r="K36" s="27">
        <f>IF('E-Mixed'!A36&lt;'Adj-Mixed'!$B$10,'E-Mixed'!N36," ")</f>
        <v>41.274341241468655</v>
      </c>
      <c r="L36" s="26">
        <f>IF('E-Mixed'!A36&lt;'Adj-Mixed'!$B$10,'E-Mixed'!K36," ")</f>
        <v>0.4237133355018714</v>
      </c>
      <c r="M36" s="30">
        <f>IF('E-Mixed'!A36&lt;'Adj-Mixed'!$B$10,'E-Mixed'!M36," ")</f>
        <v>2.2326274451681911</v>
      </c>
      <c r="N36">
        <f>IF('E-Mixed'!A36&lt;'Adj-Mixed'!$B$10,1/L36," ")</f>
        <v>2.3600862097378648</v>
      </c>
      <c r="P36">
        <f t="shared" si="2"/>
        <v>2.085559820429157</v>
      </c>
      <c r="Q36">
        <f t="shared" si="3"/>
        <v>4.9221009717782316</v>
      </c>
      <c r="R36" s="100">
        <f t="shared" si="1"/>
        <v>69.842668178898577</v>
      </c>
    </row>
    <row r="37" spans="1:18" x14ac:dyDescent="0.25">
      <c r="A37" s="27">
        <f>IF('E-Mixed'!A37&lt;'Adj-Mixed'!$B$10,'E-Mixed'!B37," ")</f>
        <v>19.270800330179775</v>
      </c>
      <c r="B37" s="217">
        <f>IF('E-Mixed'!A37&lt;'Adj-Mixed'!$B$10,'E-Mixed'!A37," ")</f>
        <v>55</v>
      </c>
      <c r="C37" s="25">
        <f>IF('E-Mixed'!A37&lt;'Adj-Mixed'!$B$10,'E-Mixed'!C37," ")</f>
        <v>615.37534392245163</v>
      </c>
      <c r="D37" s="27">
        <f>IF('E-Mixed'!A37&lt;'Adj-Mixed'!$B$10,'E-Mixed'!G37," ")</f>
        <v>17.380440675783181</v>
      </c>
      <c r="E37" s="26">
        <f>IF('E-Mixed'!A37&lt;'Adj-Mixed'!$B$10,'E-Mixed'!D37," ")</f>
        <v>0.67089896620499545</v>
      </c>
      <c r="F37" s="216"/>
      <c r="G37" s="216">
        <f t="shared" si="0"/>
        <v>55</v>
      </c>
      <c r="H37" s="27">
        <f>IF('E-Mixed'!A37&lt;'Adj-Mixed'!$B$10,'E-Mixed'!I37," ")</f>
        <v>32.647277801034811</v>
      </c>
      <c r="I37" s="217">
        <f>IF('E-Mixed'!A37&lt;'Adj-Mixed'!$B$10,'E-Mixed'!A37," ")</f>
        <v>55</v>
      </c>
      <c r="J37" s="25">
        <f>IF('E-Mixed'!A37&lt;'Adj-Mixed'!$B$10,'E-Mixed'!J37," ")</f>
        <v>967.17641464462497</v>
      </c>
      <c r="K37" s="27">
        <f>IF('E-Mixed'!A37&lt;'Adj-Mixed'!$B$10,'E-Mixed'!N37," ")</f>
        <v>43.573922954499544</v>
      </c>
      <c r="L37" s="26">
        <f>IF('E-Mixed'!A37&lt;'Adj-Mixed'!$B$10,'E-Mixed'!K37," ")</f>
        <v>0.42058797439725237</v>
      </c>
      <c r="M37" s="30">
        <f>IF('E-Mixed'!A37&lt;'Adj-Mixed'!$B$10,'E-Mixed'!M37," ")</f>
        <v>2.2995817130308884</v>
      </c>
      <c r="N37">
        <f>IF('E-Mixed'!A37&lt;'Adj-Mixed'!$B$10,1/L37," ")</f>
        <v>2.3776238524962752</v>
      </c>
      <c r="P37">
        <f t="shared" si="2"/>
        <v>2.132259003044132</v>
      </c>
      <c r="Q37">
        <f t="shared" si="3"/>
        <v>5.0697098653376562</v>
      </c>
      <c r="R37" s="100">
        <f t="shared" si="1"/>
        <v>71.974927181942689</v>
      </c>
    </row>
    <row r="38" spans="1:18" x14ac:dyDescent="0.25">
      <c r="A38" s="27">
        <f>IF('E-Mixed'!A38&lt;'Adj-Mixed'!$B$10,'E-Mixed'!B38," ")</f>
        <v>19.89995496025891</v>
      </c>
      <c r="B38" s="217">
        <f>IF('E-Mixed'!A38&lt;'Adj-Mixed'!$B$10,'E-Mixed'!A38," ")</f>
        <v>56</v>
      </c>
      <c r="C38" s="25">
        <f>IF('E-Mixed'!A38&lt;'Adj-Mixed'!$B$10,'E-Mixed'!C38," ")</f>
        <v>629.15463007913536</v>
      </c>
      <c r="D38" s="27">
        <f>IF('E-Mixed'!A38&lt;'Adj-Mixed'!$B$10,'E-Mixed'!G38," ")</f>
        <v>18.324386858135799</v>
      </c>
      <c r="E38" s="26">
        <f>IF('E-Mixed'!A38&lt;'Adj-Mixed'!$B$10,'E-Mixed'!D38," ")</f>
        <v>0.66651536055909522</v>
      </c>
      <c r="F38" s="216"/>
      <c r="G38" s="216">
        <f t="shared" si="0"/>
        <v>56</v>
      </c>
      <c r="H38" s="27">
        <f>IF('E-Mixed'!A38&lt;'Adj-Mixed'!$B$10,'E-Mixed'!I38," ")</f>
        <v>33.636110917906791</v>
      </c>
      <c r="I38" s="217">
        <f>IF('E-Mixed'!A38&lt;'Adj-Mixed'!$B$10,'E-Mixed'!A38," ")</f>
        <v>56</v>
      </c>
      <c r="J38" s="25">
        <f>IF('E-Mixed'!A38&lt;'Adj-Mixed'!$B$10,'E-Mixed'!J38," ")</f>
        <v>988.83311687197829</v>
      </c>
      <c r="K38" s="27">
        <f>IF('E-Mixed'!A38&lt;'Adj-Mixed'!$B$10,'E-Mixed'!N38," ")</f>
        <v>45.940458935393103</v>
      </c>
      <c r="L38" s="26">
        <f>IF('E-Mixed'!A38&lt;'Adj-Mixed'!$B$10,'E-Mixed'!K38," ")</f>
        <v>0.41783988278877282</v>
      </c>
      <c r="M38" s="30">
        <f>IF('E-Mixed'!A38&lt;'Adj-Mixed'!$B$10,'E-Mixed'!M38," ")</f>
        <v>2.3665359808935591</v>
      </c>
      <c r="N38">
        <f>IF('E-Mixed'!A38&lt;'Adj-Mixed'!$B$10,1/L38," ")</f>
        <v>2.3932612495622441</v>
      </c>
      <c r="P38">
        <f t="shared" si="2"/>
        <v>2.1800038586891977</v>
      </c>
      <c r="Q38">
        <f t="shared" si="3"/>
        <v>5.2173187588970231</v>
      </c>
      <c r="R38" s="100">
        <f t="shared" si="1"/>
        <v>74.154931040631894</v>
      </c>
    </row>
    <row r="39" spans="1:18" x14ac:dyDescent="0.25">
      <c r="A39" s="27">
        <f>IF('E-Mixed'!A39&lt;'Adj-Mixed'!$B$10,'E-Mixed'!B39," ")</f>
        <v>20.543197417824608</v>
      </c>
      <c r="B39" s="217">
        <f>IF('E-Mixed'!A39&lt;'Adj-Mixed'!$B$10,'E-Mixed'!A39," ")</f>
        <v>57</v>
      </c>
      <c r="C39" s="25">
        <f>IF('E-Mixed'!A39&lt;'Adj-Mixed'!$B$10,'E-Mixed'!C39," ")</f>
        <v>643.24245756569803</v>
      </c>
      <c r="D39" s="27">
        <f>IF('E-Mixed'!A39&lt;'Adj-Mixed'!$B$10,'E-Mixed'!G39," ")</f>
        <v>19.300380501951818</v>
      </c>
      <c r="E39" s="26">
        <f>IF('E-Mixed'!A39&lt;'Adj-Mixed'!$B$10,'E-Mixed'!D39," ")</f>
        <v>0.6590641871915226</v>
      </c>
      <c r="F39" s="216"/>
      <c r="G39" s="216">
        <f t="shared" si="0"/>
        <v>57</v>
      </c>
      <c r="H39" s="27">
        <f>IF('E-Mixed'!A39&lt;'Adj-Mixed'!$B$10,'E-Mixed'!I39," ")</f>
        <v>34.647085666895087</v>
      </c>
      <c r="I39" s="217">
        <f>IF('E-Mixed'!A39&lt;'Adj-Mixed'!$B$10,'E-Mixed'!A39," ")</f>
        <v>57</v>
      </c>
      <c r="J39" s="25">
        <f>IF('E-Mixed'!A39&lt;'Adj-Mixed'!$B$10,'E-Mixed'!J39," ")</f>
        <v>1010.9747489882997</v>
      </c>
      <c r="K39" s="27">
        <f>IF('E-Mixed'!A39&lt;'Adj-Mixed'!$B$10,'E-Mixed'!N39," ")</f>
        <v>48.387340037721899</v>
      </c>
      <c r="L39" s="26">
        <f>IF('E-Mixed'!A39&lt;'Adj-Mixed'!$B$10,'E-Mixed'!K39," ")</f>
        <v>0.41316872651724484</v>
      </c>
      <c r="M39" s="30">
        <f>IF('E-Mixed'!A39&lt;'Adj-Mixed'!$B$10,'E-Mixed'!M39," ")</f>
        <v>2.4468811023287929</v>
      </c>
      <c r="N39">
        <f>IF('E-Mixed'!A39&lt;'Adj-Mixed'!$B$10,1/L39," ")</f>
        <v>2.4203187119929854</v>
      </c>
      <c r="P39">
        <f t="shared" si="2"/>
        <v>2.2288178017374931</v>
      </c>
      <c r="Q39">
        <f t="shared" si="3"/>
        <v>5.3944494311683258</v>
      </c>
      <c r="R39" s="100">
        <f t="shared" si="1"/>
        <v>76.383748842369386</v>
      </c>
    </row>
    <row r="40" spans="1:18" x14ac:dyDescent="0.25">
      <c r="A40" s="27">
        <f>IF('E-Mixed'!A40&lt;'Adj-Mixed'!$B$10,'E-Mixed'!B40," ")</f>
        <v>21.200843152964662</v>
      </c>
      <c r="B40" s="217">
        <f>IF('E-Mixed'!A40&lt;'Adj-Mixed'!$B$10,'E-Mixed'!A40," ")</f>
        <v>58</v>
      </c>
      <c r="C40" s="25">
        <f>IF('E-Mixed'!A40&lt;'Adj-Mixed'!$B$10,'E-Mixed'!C40," ")</f>
        <v>657.64573514005417</v>
      </c>
      <c r="D40" s="27">
        <f>IF('E-Mixed'!A40&lt;'Adj-Mixed'!$B$10,'E-Mixed'!G40," ")</f>
        <v>20.308421607231235</v>
      </c>
      <c r="E40" s="26">
        <f>IF('E-Mixed'!A40&lt;'Adj-Mixed'!$B$10,'E-Mixed'!D40," ")</f>
        <v>0.65239972030482252</v>
      </c>
      <c r="F40" s="216"/>
      <c r="G40" s="216">
        <f t="shared" si="0"/>
        <v>58</v>
      </c>
      <c r="H40" s="27">
        <f>IF('E-Mixed'!A40&lt;'Adj-Mixed'!$B$10,'E-Mixed'!I40," ")</f>
        <v>35.680697836282299</v>
      </c>
      <c r="I40" s="217">
        <f>IF('E-Mixed'!A40&lt;'Adj-Mixed'!$B$10,'E-Mixed'!A40," ")</f>
        <v>58</v>
      </c>
      <c r="J40" s="25">
        <f>IF('E-Mixed'!A40&lt;'Adj-Mixed'!$B$10,'E-Mixed'!J40," ")</f>
        <v>1033.6121693872108</v>
      </c>
      <c r="K40" s="27">
        <f>IF('E-Mixed'!A40&lt;'Adj-Mixed'!$B$10,'E-Mixed'!N40," ")</f>
        <v>50.914566261485902</v>
      </c>
      <c r="L40" s="26">
        <f>IF('E-Mixed'!A40&lt;'Adj-Mixed'!$B$10,'E-Mixed'!K40," ")</f>
        <v>0.40899075819487557</v>
      </c>
      <c r="M40" s="30">
        <f>IF('E-Mixed'!A40&lt;'Adj-Mixed'!$B$10,'E-Mixed'!M40," ")</f>
        <v>2.527226223764</v>
      </c>
      <c r="N40">
        <f>IF('E-Mixed'!A40&lt;'Adj-Mixed'!$B$10,1/L40," ")</f>
        <v>2.4450430234991298</v>
      </c>
      <c r="P40">
        <f t="shared" si="2"/>
        <v>2.2787247708492333</v>
      </c>
      <c r="Q40">
        <f t="shared" si="3"/>
        <v>5.5715801034395707</v>
      </c>
      <c r="R40" s="100">
        <f t="shared" si="1"/>
        <v>78.662473613218623</v>
      </c>
    </row>
    <row r="41" spans="1:18" x14ac:dyDescent="0.25">
      <c r="A41" s="27">
        <f>IF('E-Mixed'!A41&lt;'Adj-Mixed'!$B$10,'E-Mixed'!B41," ")</f>
        <v>21.873214679223445</v>
      </c>
      <c r="B41" s="217">
        <f>IF('E-Mixed'!A41&lt;'Adj-Mixed'!$B$10,'E-Mixed'!A41," ")</f>
        <v>59</v>
      </c>
      <c r="C41" s="25">
        <f>IF('E-Mixed'!A41&lt;'Adj-Mixed'!$B$10,'E-Mixed'!C41," ")</f>
        <v>672.37152625878241</v>
      </c>
      <c r="D41" s="27">
        <f>IF('E-Mixed'!A41&lt;'Adj-Mixed'!$B$10,'E-Mixed'!G41," ")</f>
        <v>21.348510173974052</v>
      </c>
      <c r="E41" s="26">
        <f>IF('E-Mixed'!A41&lt;'Adj-Mixed'!$B$10,'E-Mixed'!D41," ")</f>
        <v>0.64645603053248279</v>
      </c>
      <c r="F41" s="216"/>
      <c r="G41" s="216">
        <f t="shared" si="0"/>
        <v>59</v>
      </c>
      <c r="H41" s="27">
        <f>IF('E-Mixed'!A41&lt;'Adj-Mixed'!$B$10,'E-Mixed'!I41," ")</f>
        <v>36.73745431588226</v>
      </c>
      <c r="I41" s="217">
        <f>IF('E-Mixed'!A41&lt;'Adj-Mixed'!$B$10,'E-Mixed'!A41," ")</f>
        <v>59</v>
      </c>
      <c r="J41" s="25">
        <f>IF('E-Mixed'!A41&lt;'Adj-Mixed'!$B$10,'E-Mixed'!J41," ")</f>
        <v>1056.7564795999581</v>
      </c>
      <c r="K41" s="27">
        <f>IF('E-Mixed'!A41&lt;'Adj-Mixed'!$B$10,'E-Mixed'!N41," ")</f>
        <v>53.522137606685135</v>
      </c>
      <c r="L41" s="26">
        <f>IF('E-Mixed'!A41&lt;'Adj-Mixed'!$B$10,'E-Mixed'!K41," ")</f>
        <v>0.4052646465629936</v>
      </c>
      <c r="M41" s="30">
        <f>IF('E-Mixed'!A41&lt;'Adj-Mixed'!$B$10,'E-Mixed'!M41," ")</f>
        <v>2.6075713451992355</v>
      </c>
      <c r="N41">
        <f>IF('E-Mixed'!A41&lt;'Adj-Mixed'!$B$10,1/L41," ")</f>
        <v>2.4675234034868172</v>
      </c>
      <c r="P41">
        <f t="shared" si="2"/>
        <v>2.329749240711342</v>
      </c>
      <c r="Q41">
        <f t="shared" si="3"/>
        <v>5.7487107757108769</v>
      </c>
      <c r="R41" s="100">
        <f t="shared" si="1"/>
        <v>80.992222853929974</v>
      </c>
    </row>
    <row r="42" spans="1:18" x14ac:dyDescent="0.25">
      <c r="A42" s="27">
        <f>IF('E-Mixed'!A42&lt;'Adj-Mixed'!$B$10,'E-Mixed'!B42," ")</f>
        <v>22.560256662064667</v>
      </c>
      <c r="B42" s="217">
        <f>IF('E-Mixed'!A42&lt;'Adj-Mixed'!$B$10,'E-Mixed'!A42," ")</f>
        <v>60</v>
      </c>
      <c r="C42" s="25">
        <f>IF('E-Mixed'!A42&lt;'Adj-Mixed'!$B$10,'E-Mixed'!C42," ")</f>
        <v>687.04198284122242</v>
      </c>
      <c r="D42" s="27">
        <f>IF('E-Mixed'!A42&lt;'Adj-Mixed'!$B$10,'E-Mixed'!G42," ")</f>
        <v>22.414236709887589</v>
      </c>
      <c r="E42" s="26">
        <f>IF('E-Mixed'!A42&lt;'Adj-Mixed'!$B$10,'E-Mixed'!D42," ")</f>
        <v>0.64467005342256645</v>
      </c>
      <c r="F42" s="216"/>
      <c r="G42" s="216">
        <f t="shared" si="0"/>
        <v>60</v>
      </c>
      <c r="H42" s="27">
        <f>IF('E-Mixed'!A42&lt;'Adj-Mixed'!$B$10,'E-Mixed'!I42," ")</f>
        <v>37.817268137214768</v>
      </c>
      <c r="I42" s="217">
        <f>IF('E-Mixed'!A42&lt;'Adj-Mixed'!$B$10,'E-Mixed'!A42," ")</f>
        <v>60</v>
      </c>
      <c r="J42" s="25">
        <f>IF('E-Mixed'!A42&lt;'Adj-Mixed'!$B$10,'E-Mixed'!J42," ")</f>
        <v>1079.8138213325058</v>
      </c>
      <c r="K42" s="27">
        <f>IF('E-Mixed'!A42&lt;'Adj-Mixed'!$B$10,'E-Mixed'!N42," ")</f>
        <v>56.193985049032527</v>
      </c>
      <c r="L42" s="26">
        <f>IF('E-Mixed'!A42&lt;'Adj-Mixed'!$B$10,'E-Mixed'!K42," ")</f>
        <v>0.4041450137526636</v>
      </c>
      <c r="M42" s="30">
        <f>IF('E-Mixed'!A42&lt;'Adj-Mixed'!$B$10,'E-Mixed'!M42," ")</f>
        <v>2.6718474423473917</v>
      </c>
      <c r="N42">
        <f>IF('E-Mixed'!A42&lt;'Adj-Mixed'!$B$10,1/L42," ")</f>
        <v>2.4743593659972731</v>
      </c>
      <c r="P42">
        <f t="shared" si="2"/>
        <v>2.3805819778946145</v>
      </c>
      <c r="Q42">
        <f t="shared" si="3"/>
        <v>5.8904153135278525</v>
      </c>
      <c r="R42" s="100">
        <f t="shared" si="1"/>
        <v>83.372804831824595</v>
      </c>
    </row>
    <row r="43" spans="1:18" x14ac:dyDescent="0.25">
      <c r="A43" s="27">
        <f>IF('E-Mixed'!A43&lt;'Adj-Mixed'!$B$10,'E-Mixed'!B43," ")</f>
        <v>23.256847857702841</v>
      </c>
      <c r="B43" s="217">
        <f>IF('E-Mixed'!A43&lt;'Adj-Mixed'!$B$10,'E-Mixed'!A43," ")</f>
        <v>61</v>
      </c>
      <c r="C43" s="25">
        <f>IF('E-Mixed'!A43&lt;'Adj-Mixed'!$B$10,'E-Mixed'!C43," ")</f>
        <v>696.59119563817387</v>
      </c>
      <c r="D43" s="27">
        <f>IF('E-Mixed'!A43&lt;'Adj-Mixed'!$B$10,'E-Mixed'!G43," ")</f>
        <v>23.506955441650309</v>
      </c>
      <c r="E43" s="26">
        <f>IF('E-Mixed'!A43&lt;'Adj-Mixed'!$B$10,'E-Mixed'!D43," ")</f>
        <v>0.63748444626227441</v>
      </c>
      <c r="F43" s="216"/>
      <c r="G43" s="216">
        <f t="shared" si="0"/>
        <v>61</v>
      </c>
      <c r="H43" s="27">
        <f>IF('E-Mixed'!A43&lt;'Adj-Mixed'!$B$10,'E-Mixed'!I43," ")</f>
        <v>38.912090316432987</v>
      </c>
      <c r="I43" s="217">
        <f>IF('E-Mixed'!A43&lt;'Adj-Mixed'!$B$10,'E-Mixed'!A43," ")</f>
        <v>61</v>
      </c>
      <c r="J43" s="25">
        <f>IF('E-Mixed'!A43&lt;'Adj-Mixed'!$B$10,'E-Mixed'!J43," ")</f>
        <v>1094.8221792182223</v>
      </c>
      <c r="K43" s="27">
        <f>IF('E-Mixed'!A43&lt;'Adj-Mixed'!$B$10,'E-Mixed'!N43," ")</f>
        <v>58.933503725052617</v>
      </c>
      <c r="L43" s="26">
        <f>IF('E-Mixed'!A43&lt;'Adj-Mixed'!$B$10,'E-Mixed'!K43," ")</f>
        <v>0.39964034149559208</v>
      </c>
      <c r="M43" s="30">
        <f>IF('E-Mixed'!A43&lt;'Adj-Mixed'!$B$10,'E-Mixed'!M43," ")</f>
        <v>2.7395186760200936</v>
      </c>
      <c r="N43">
        <f>IF('E-Mixed'!A43&lt;'Adj-Mixed'!$B$10,1/L43," ")</f>
        <v>2.5022498886315003</v>
      </c>
      <c r="P43">
        <f t="shared" si="2"/>
        <v>2.4136697432062677</v>
      </c>
      <c r="Q43">
        <f t="shared" si="3"/>
        <v>6.0396048461311054</v>
      </c>
      <c r="R43" s="100">
        <f t="shared" si="1"/>
        <v>85.786474575030837</v>
      </c>
    </row>
    <row r="44" spans="1:18" x14ac:dyDescent="0.25">
      <c r="A44" s="27">
        <f>IF('E-Mixed'!A44&lt;'Adj-Mixed'!$B$10,'E-Mixed'!B44," ")</f>
        <v>23.962827646152242</v>
      </c>
      <c r="B44" s="217">
        <f>IF('E-Mixed'!A44&lt;'Adj-Mixed'!$B$10,'E-Mixed'!A44," ")</f>
        <v>62</v>
      </c>
      <c r="C44" s="25">
        <f>IF('E-Mixed'!A44&lt;'Adj-Mixed'!$B$10,'E-Mixed'!C44," ")</f>
        <v>705.97978844940098</v>
      </c>
      <c r="D44" s="27">
        <f>IF('E-Mixed'!A44&lt;'Adj-Mixed'!$B$10,'E-Mixed'!G44," ")</f>
        <v>24.630879429311733</v>
      </c>
      <c r="E44" s="26">
        <f>IF('E-Mixed'!A44&lt;'Adj-Mixed'!$B$10,'E-Mixed'!D44," ")</f>
        <v>0.62813837608213263</v>
      </c>
      <c r="F44" s="216"/>
      <c r="G44" s="216">
        <f t="shared" si="0"/>
        <v>62</v>
      </c>
      <c r="H44" s="27">
        <f>IF('E-Mixed'!A44&lt;'Adj-Mixed'!$B$10,'E-Mixed'!I44," ")</f>
        <v>40.021668409457966</v>
      </c>
      <c r="I44" s="217">
        <f>IF('E-Mixed'!A44&lt;'Adj-Mixed'!$B$10,'E-Mixed'!A44," ")</f>
        <v>62</v>
      </c>
      <c r="J44" s="25">
        <f>IF('E-Mixed'!A44&lt;'Adj-Mixed'!$B$10,'E-Mixed'!J44," ")</f>
        <v>1109.5780930249757</v>
      </c>
      <c r="K44" s="27">
        <f>IF('E-Mixed'!A44&lt;'Adj-Mixed'!$B$10,'E-Mixed'!N44," ")</f>
        <v>61.751256057035185</v>
      </c>
      <c r="L44" s="26">
        <f>IF('E-Mixed'!A44&lt;'Adj-Mixed'!$B$10,'E-Mixed'!K44," ")</f>
        <v>0.39378127042282596</v>
      </c>
      <c r="M44" s="30">
        <f>IF('E-Mixed'!A44&lt;'Adj-Mixed'!$B$10,'E-Mixed'!M44," ")</f>
        <v>2.8177523319825668</v>
      </c>
      <c r="N44">
        <f>IF('E-Mixed'!A44&lt;'Adj-Mixed'!$B$10,1/L44," ")</f>
        <v>2.539480861865882</v>
      </c>
      <c r="P44">
        <f t="shared" si="2"/>
        <v>2.4462009645906866</v>
      </c>
      <c r="Q44">
        <f t="shared" si="3"/>
        <v>6.2120805338559082</v>
      </c>
      <c r="R44" s="100">
        <f t="shared" si="1"/>
        <v>88.232675539621539</v>
      </c>
    </row>
    <row r="45" spans="1:18" x14ac:dyDescent="0.25">
      <c r="A45" s="27">
        <f>IF('E-Mixed'!A45&lt;'Adj-Mixed'!$B$10,'E-Mixed'!B45," ")</f>
        <v>24.678047527845305</v>
      </c>
      <c r="B45" s="217">
        <f>IF('E-Mixed'!A45&lt;'Adj-Mixed'!$B$10,'E-Mixed'!A45," ")</f>
        <v>63</v>
      </c>
      <c r="C45" s="25">
        <f>IF('E-Mixed'!A45&lt;'Adj-Mixed'!$B$10,'E-Mixed'!C45," ")</f>
        <v>715.2198816930628</v>
      </c>
      <c r="D45" s="27">
        <f>IF('E-Mixed'!A45&lt;'Adj-Mixed'!$B$10,'E-Mixed'!G45," ")</f>
        <v>25.786166289227324</v>
      </c>
      <c r="E45" s="26">
        <f>IF('E-Mixed'!A45&lt;'Adj-Mixed'!$B$10,'E-Mixed'!D45," ")</f>
        <v>0.61908423484130748</v>
      </c>
      <c r="F45" s="216"/>
      <c r="G45" s="216">
        <f t="shared" si="0"/>
        <v>63</v>
      </c>
      <c r="H45" s="27">
        <f>IF('E-Mixed'!A45&lt;'Adj-Mixed'!$B$10,'E-Mixed'!I45," ")</f>
        <v>41.145769021694427</v>
      </c>
      <c r="I45" s="217">
        <f>IF('E-Mixed'!A45&lt;'Adj-Mixed'!$B$10,'E-Mixed'!A45," ")</f>
        <v>63</v>
      </c>
      <c r="J45" s="25">
        <f>IF('E-Mixed'!A45&lt;'Adj-Mixed'!$B$10,'E-Mixed'!J45," ")</f>
        <v>1124.1006122364588</v>
      </c>
      <c r="K45" s="27">
        <f>IF('E-Mixed'!A45&lt;'Adj-Mixed'!$B$10,'E-Mixed'!N45," ")</f>
        <v>64.647637199686471</v>
      </c>
      <c r="L45" s="26">
        <f>IF('E-Mixed'!A45&lt;'Adj-Mixed'!$B$10,'E-Mixed'!K45," ")</f>
        <v>0.38810521021673267</v>
      </c>
      <c r="M45" s="30">
        <f>IF('E-Mixed'!A45&lt;'Adj-Mixed'!$B$10,'E-Mixed'!M45," ")</f>
        <v>2.8963811426512884</v>
      </c>
      <c r="N45">
        <f>IF('E-Mixed'!A45&lt;'Adj-Mixed'!$B$10,1/L45," ")</f>
        <v>2.5766209101948467</v>
      </c>
      <c r="O45" s="19"/>
      <c r="P45">
        <f t="shared" si="2"/>
        <v>2.4782176389705559</v>
      </c>
      <c r="Q45">
        <f t="shared" si="3"/>
        <v>6.385427388585236</v>
      </c>
      <c r="R45" s="100">
        <f t="shared" si="1"/>
        <v>90.710893178592102</v>
      </c>
    </row>
    <row r="46" spans="1:18" x14ac:dyDescent="0.25">
      <c r="A46" s="27">
        <f>IF('E-Mixed'!A46&lt;'Adj-Mixed'!$B$10,'E-Mixed'!B46," ")</f>
        <v>25.402357134821955</v>
      </c>
      <c r="B46" s="217">
        <f>IF('E-Mixed'!A46&lt;'Adj-Mixed'!$B$10,'E-Mixed'!A46," ")</f>
        <v>64</v>
      </c>
      <c r="C46" s="25">
        <f>IF('E-Mixed'!A46&lt;'Adj-Mixed'!$B$10,'E-Mixed'!C46," ")</f>
        <v>724.30960697665012</v>
      </c>
      <c r="D46" s="27">
        <f>IF('E-Mixed'!A46&lt;'Adj-Mixed'!$B$10,'E-Mixed'!G46," ")</f>
        <v>26.972953300198242</v>
      </c>
      <c r="E46" s="26">
        <f>IF('E-Mixed'!A46&lt;'Adj-Mixed'!$B$10,'E-Mixed'!D46," ")</f>
        <v>0.61031137034781602</v>
      </c>
      <c r="F46" s="216"/>
      <c r="G46" s="216">
        <f t="shared" si="0"/>
        <v>64</v>
      </c>
      <c r="H46" s="27">
        <f>IF('E-Mixed'!A46&lt;'Adj-Mixed'!$B$10,'E-Mixed'!I46," ")</f>
        <v>42.284155822021958</v>
      </c>
      <c r="I46" s="217">
        <f>IF('E-Mixed'!A46&lt;'Adj-Mixed'!$B$10,'E-Mixed'!A46," ")</f>
        <v>64</v>
      </c>
      <c r="J46" s="25">
        <f>IF('E-Mixed'!A46&lt;'Adj-Mixed'!$B$10,'E-Mixed'!J46," ")</f>
        <v>1138.3868003275313</v>
      </c>
      <c r="K46" s="27">
        <f>IF('E-Mixed'!A46&lt;'Adj-Mixed'!$B$10,'E-Mixed'!N46," ")</f>
        <v>67.62299132010881</v>
      </c>
      <c r="L46" s="26">
        <f>IF('E-Mixed'!A46&lt;'Adj-Mixed'!$B$10,'E-Mixed'!K46," ")</f>
        <v>0.38260548299573149</v>
      </c>
      <c r="M46" s="30">
        <f>IF('E-Mixed'!A46&lt;'Adj-Mixed'!$B$10,'E-Mixed'!M46," ")</f>
        <v>2.9753541204223453</v>
      </c>
      <c r="N46">
        <f>IF('E-Mixed'!A46&lt;'Adj-Mixed'!$B$10,1/L46," ")</f>
        <v>2.6136583097821324</v>
      </c>
      <c r="O46" s="19"/>
      <c r="P46">
        <f t="shared" si="2"/>
        <v>2.5097132924161207</v>
      </c>
      <c r="Q46">
        <f t="shared" si="3"/>
        <v>6.5595330018940681</v>
      </c>
      <c r="R46" s="100">
        <f t="shared" si="1"/>
        <v>93.220606471008225</v>
      </c>
    </row>
    <row r="47" spans="1:18" x14ac:dyDescent="0.25">
      <c r="A47" s="27">
        <f>IF('E-Mixed'!A47&lt;'Adj-Mixed'!$B$10,'E-Mixed'!B47," ")</f>
        <v>26.135604335942716</v>
      </c>
      <c r="B47" s="217">
        <f>IF('E-Mixed'!A47&lt;'Adj-Mixed'!$B$10,'E-Mixed'!A47," ")</f>
        <v>65</v>
      </c>
      <c r="C47" s="25">
        <f>IF('E-Mixed'!A47&lt;'Adj-Mixed'!$B$10,'E-Mixed'!C47," ")</f>
        <v>733.24720112076136</v>
      </c>
      <c r="D47" s="27">
        <f>IF('E-Mixed'!A47&lt;'Adj-Mixed'!$B$10,'E-Mixed'!G47," ")</f>
        <v>28.191357488958573</v>
      </c>
      <c r="E47" s="26">
        <f>IF('E-Mixed'!A47&lt;'Adj-Mixed'!$B$10,'E-Mixed'!D47," ")</f>
        <v>0.60180948808687984</v>
      </c>
      <c r="F47" s="216"/>
      <c r="G47" s="216">
        <f t="shared" si="0"/>
        <v>65</v>
      </c>
      <c r="H47" s="27">
        <f>IF('E-Mixed'!A47&lt;'Adj-Mixed'!$B$10,'E-Mixed'!I47," ")</f>
        <v>43.436589708156909</v>
      </c>
      <c r="I47" s="217">
        <f>IF('E-Mixed'!A47&lt;'Adj-Mixed'!$B$10,'E-Mixed'!A47," ")</f>
        <v>65</v>
      </c>
      <c r="J47" s="25">
        <f>IF('E-Mixed'!A47&lt;'Adj-Mixed'!$B$10,'E-Mixed'!J47," ")</f>
        <v>1152.4338861349529</v>
      </c>
      <c r="K47" s="27">
        <f>IF('E-Mixed'!A47&lt;'Adj-Mixed'!$B$10,'E-Mixed'!N47," ")</f>
        <v>70.677611812122862</v>
      </c>
      <c r="L47" s="26">
        <f>IF('E-Mixed'!A47&lt;'Adj-Mixed'!$B$10,'E-Mixed'!K47," ")</f>
        <v>0.37727563510683421</v>
      </c>
      <c r="M47" s="30">
        <f>IF('E-Mixed'!A47&lt;'Adj-Mixed'!$B$10,'E-Mixed'!M47," ")</f>
        <v>3.0546204920140543</v>
      </c>
      <c r="N47">
        <f>IF('E-Mixed'!A47&lt;'Adj-Mixed'!$B$10,1/L47," ")</f>
        <v>2.6505819802458941</v>
      </c>
      <c r="O47" s="19"/>
      <c r="P47">
        <f t="shared" si="2"/>
        <v>2.5406818155582132</v>
      </c>
      <c r="Q47">
        <f t="shared" si="3"/>
        <v>6.7342854378570216</v>
      </c>
      <c r="R47" s="100">
        <f t="shared" si="1"/>
        <v>95.76128828656644</v>
      </c>
    </row>
    <row r="48" spans="1:18" x14ac:dyDescent="0.25">
      <c r="A48" s="27">
        <f>IF('E-Mixed'!A48&lt;'Adj-Mixed'!$B$10,'E-Mixed'!B48," ")</f>
        <v>26.87763534159631</v>
      </c>
      <c r="B48" s="217">
        <f>IF('E-Mixed'!A48&lt;'Adj-Mixed'!$B$10,'E-Mixed'!A48," ")</f>
        <v>66</v>
      </c>
      <c r="C48" s="25">
        <f>IF('E-Mixed'!A48&lt;'Adj-Mixed'!$B$10,'E-Mixed'!C48," ")</f>
        <v>742.03100565359387</v>
      </c>
      <c r="D48" s="27">
        <f>IF('E-Mixed'!A48&lt;'Adj-Mixed'!$B$10,'E-Mixed'!G48," ")</f>
        <v>29.441475751856636</v>
      </c>
      <c r="E48" s="26">
        <f>IF('E-Mixed'!A48&lt;'Adj-Mixed'!$B$10,'E-Mixed'!D48," ")</f>
        <v>0.59356864680417831</v>
      </c>
      <c r="F48" s="216"/>
      <c r="G48" s="216">
        <f t="shared" si="0"/>
        <v>66</v>
      </c>
      <c r="H48" s="27">
        <f>IF('E-Mixed'!A48&lt;'Adj-Mixed'!$B$10,'E-Mixed'!I48," ")</f>
        <v>44.602828971219793</v>
      </c>
      <c r="I48" s="217">
        <f>IF('E-Mixed'!A48&lt;'Adj-Mixed'!$B$10,'E-Mixed'!A48," ")</f>
        <v>66</v>
      </c>
      <c r="J48" s="25">
        <f>IF('E-Mixed'!A48&lt;'Adj-Mixed'!$B$10,'E-Mixed'!J48," ")</f>
        <v>1166.2392630628833</v>
      </c>
      <c r="K48" s="27">
        <f>IF('E-Mixed'!A48&lt;'Adj-Mixed'!$B$10,'E-Mixed'!N48," ")</f>
        <v>73.81174160133078</v>
      </c>
      <c r="L48" s="26">
        <f>IF('E-Mixed'!A48&lt;'Adj-Mixed'!$B$10,'E-Mixed'!K48," ")</f>
        <v>0.37210943435677724</v>
      </c>
      <c r="M48" s="30">
        <f>IF('E-Mixed'!A48&lt;'Adj-Mixed'!$B$10,'E-Mixed'!M48," ")</f>
        <v>3.1341297892079165</v>
      </c>
      <c r="N48">
        <f>IF('E-Mixed'!A48&lt;'Adj-Mixed'!$B$10,1/L48," ")</f>
        <v>2.6873814734866501</v>
      </c>
      <c r="O48" s="19"/>
      <c r="P48">
        <f t="shared" si="2"/>
        <v>2.5711174618366779</v>
      </c>
      <c r="Q48">
        <f t="shared" si="3"/>
        <v>6.9095734330979077</v>
      </c>
      <c r="R48" s="100">
        <f t="shared" si="1"/>
        <v>98.332405748403119</v>
      </c>
    </row>
    <row r="49" spans="1:18" x14ac:dyDescent="0.25">
      <c r="A49" s="27">
        <f>IF('E-Mixed'!A49&lt;'Adj-Mixed'!$B$10,'E-Mixed'!B49," ")</f>
        <v>27.628294807832077</v>
      </c>
      <c r="B49" s="217">
        <f>IF('E-Mixed'!A49&lt;'Adj-Mixed'!$B$10,'E-Mixed'!A49," ")</f>
        <v>67</v>
      </c>
      <c r="C49" s="25">
        <f>IF('E-Mixed'!A49&lt;'Adj-Mixed'!$B$10,'E-Mixed'!C49," ")</f>
        <v>750.65946623576701</v>
      </c>
      <c r="D49" s="27">
        <f>IF('E-Mixed'!A49&lt;'Adj-Mixed'!$B$10,'E-Mixed'!G49," ")</f>
        <v>30.723385011831372</v>
      </c>
      <c r="E49" s="26">
        <f>IF('E-Mixed'!A49&lt;'Adj-Mixed'!$B$10,'E-Mixed'!D49," ")</f>
        <v>0.58557925250540643</v>
      </c>
      <c r="F49" s="216"/>
      <c r="G49" s="216">
        <f t="shared" si="0"/>
        <v>67</v>
      </c>
      <c r="H49" s="27">
        <f>IF('E-Mixed'!A49&lt;'Adj-Mixed'!$B$10,'E-Mixed'!I49," ")</f>
        <v>45.782629459398677</v>
      </c>
      <c r="I49" s="217">
        <f>IF('E-Mixed'!A49&lt;'Adj-Mixed'!$B$10,'E-Mixed'!A49," ")</f>
        <v>67</v>
      </c>
      <c r="J49" s="25">
        <f>IF('E-Mixed'!A49&lt;'Adj-Mixed'!$B$10,'E-Mixed'!J49," ")</f>
        <v>1179.8004881788838</v>
      </c>
      <c r="K49" s="27">
        <f>IF('E-Mixed'!A49&lt;'Adj-Mixed'!$B$10,'E-Mixed'!N49," ")</f>
        <v>77.025573538666393</v>
      </c>
      <c r="L49" s="26">
        <f>IF('E-Mixed'!A49&lt;'Adj-Mixed'!$B$10,'E-Mixed'!K49," ")</f>
        <v>0.367100866250332</v>
      </c>
      <c r="M49" s="30">
        <f>IF('E-Mixed'!A49&lt;'Adj-Mixed'!$B$10,'E-Mixed'!M49," ")</f>
        <v>3.2138319373356059</v>
      </c>
      <c r="N49">
        <f>IF('E-Mixed'!A49&lt;'Adj-Mixed'!$B$10,1/L49," ")</f>
        <v>2.7240469634797426</v>
      </c>
      <c r="O49" s="19"/>
      <c r="P49">
        <f t="shared" si="2"/>
        <v>2.6010148455073963</v>
      </c>
      <c r="Q49">
        <f t="shared" si="3"/>
        <v>7.0852865918701537</v>
      </c>
      <c r="R49" s="100">
        <f t="shared" si="1"/>
        <v>100.93342059391051</v>
      </c>
    </row>
    <row r="50" spans="1:18" x14ac:dyDescent="0.25">
      <c r="A50" s="27">
        <f>IF('E-Mixed'!A50&lt;'Adj-Mixed'!$B$10,'E-Mixed'!B50," ")</f>
        <v>28.387425939847148</v>
      </c>
      <c r="B50" s="217">
        <f>IF('E-Mixed'!A50&lt;'Adj-Mixed'!$B$10,'E-Mixed'!A50," ")</f>
        <v>68</v>
      </c>
      <c r="C50" s="25">
        <f>IF('E-Mixed'!A50&lt;'Adj-Mixed'!$B$10,'E-Mixed'!C50," ")</f>
        <v>759.13113201507088</v>
      </c>
      <c r="D50" s="27">
        <f>IF('E-Mixed'!A50&lt;'Adj-Mixed'!$B$10,'E-Mixed'!G50," ")</f>
        <v>32.037142409679603</v>
      </c>
      <c r="E50" s="26">
        <f>IF('E-Mixed'!A50&lt;'Adj-Mixed'!$B$10,'E-Mixed'!D50," ")</f>
        <v>0.57783205122835768</v>
      </c>
      <c r="F50" s="216"/>
      <c r="G50" s="216">
        <f t="shared" si="0"/>
        <v>68</v>
      </c>
      <c r="H50" s="27">
        <f>IF('E-Mixed'!A50&lt;'Adj-Mixed'!$B$10,'E-Mixed'!I50," ")</f>
        <v>46.975744740598465</v>
      </c>
      <c r="I50" s="217">
        <f>IF('E-Mixed'!A50&lt;'Adj-Mixed'!$B$10,'E-Mixed'!A50," ")</f>
        <v>68</v>
      </c>
      <c r="J50" s="25">
        <f>IF('E-Mixed'!A50&lt;'Adj-Mixed'!$B$10,'E-Mixed'!J50," ")</f>
        <v>1193.1152811997872</v>
      </c>
      <c r="K50" s="27">
        <f>IF('E-Mixed'!A50&lt;'Adj-Mixed'!$B$10,'E-Mixed'!N50," ")</f>
        <v>80.319250879914989</v>
      </c>
      <c r="L50" s="26">
        <f>IF('E-Mixed'!A50&lt;'Adj-Mixed'!$B$10,'E-Mixed'!K50," ")</f>
        <v>0.36224412945910833</v>
      </c>
      <c r="M50" s="30">
        <f>IF('E-Mixed'!A50&lt;'Adj-Mixed'!$B$10,'E-Mixed'!M50," ")</f>
        <v>3.2936773412485931</v>
      </c>
      <c r="N50">
        <f>IF('E-Mixed'!A50&lt;'Adj-Mixed'!$B$10,1/L50," ")</f>
        <v>2.7605692368104595</v>
      </c>
      <c r="O50" s="19"/>
      <c r="P50">
        <f t="shared" si="2"/>
        <v>2.6303689394065142</v>
      </c>
      <c r="Q50">
        <f t="shared" si="3"/>
        <v>7.2613155755873784</v>
      </c>
      <c r="R50" s="100">
        <f t="shared" si="1"/>
        <v>103.56378953331702</v>
      </c>
    </row>
    <row r="51" spans="1:18" x14ac:dyDescent="0.25">
      <c r="A51" s="27">
        <f>IF('E-Mixed'!A51&lt;'Adj-Mixed'!$B$10,'E-Mixed'!B51," ")</f>
        <v>29.154870594758094</v>
      </c>
      <c r="B51" s="217">
        <f>IF('E-Mixed'!A51&lt;'Adj-Mixed'!$B$10,'E-Mixed'!A51," ")</f>
        <v>69</v>
      </c>
      <c r="C51" s="25">
        <f>IF('E-Mixed'!A51&lt;'Adj-Mixed'!$B$10,'E-Mixed'!C51," ")</f>
        <v>767.44465491094616</v>
      </c>
      <c r="D51" s="27">
        <f>IF('E-Mixed'!A51&lt;'Adj-Mixed'!$B$10,'E-Mixed'!G51," ")</f>
        <v>33.382785528510894</v>
      </c>
      <c r="E51" s="26">
        <f>IF('E-Mixed'!A51&lt;'Adj-Mixed'!$B$10,'E-Mixed'!D51," ")</f>
        <v>0.57031812088296208</v>
      </c>
      <c r="F51" s="216"/>
      <c r="G51" s="216">
        <f t="shared" si="0"/>
        <v>69</v>
      </c>
      <c r="H51" s="27">
        <f>IF('E-Mixed'!A51&lt;'Adj-Mixed'!$B$10,'E-Mixed'!I51," ")</f>
        <v>48.181926263965586</v>
      </c>
      <c r="I51" s="217">
        <f>IF('E-Mixed'!A51&lt;'Adj-Mixed'!$B$10,'E-Mixed'!A51," ")</f>
        <v>69</v>
      </c>
      <c r="J51" s="25">
        <f>IF('E-Mixed'!A51&lt;'Adj-Mixed'!$B$10,'E-Mixed'!J51," ")</f>
        <v>1206.1815233671236</v>
      </c>
      <c r="K51" s="27">
        <f>IF('E-Mixed'!A51&lt;'Adj-Mixed'!$B$10,'E-Mixed'!N51," ")</f>
        <v>83.692867848436691</v>
      </c>
      <c r="L51" s="26">
        <f>IF('E-Mixed'!A51&lt;'Adj-Mixed'!$B$10,'E-Mixed'!K51," ")</f>
        <v>0.35753363070605709</v>
      </c>
      <c r="M51" s="30">
        <f>IF('E-Mixed'!A51&lt;'Adj-Mixed'!$B$10,'E-Mixed'!M51," ")</f>
        <v>3.373616968521695</v>
      </c>
      <c r="N51">
        <f>IF('E-Mixed'!A51&lt;'Adj-Mixed'!$B$10,1/L51," ")</f>
        <v>2.7969396837584228</v>
      </c>
      <c r="O51" s="19"/>
      <c r="P51">
        <f t="shared" si="2"/>
        <v>2.6591750724711787</v>
      </c>
      <c r="Q51">
        <f t="shared" si="3"/>
        <v>7.4375522862558174</v>
      </c>
      <c r="R51" s="100">
        <f t="shared" si="1"/>
        <v>106.22296460578821</v>
      </c>
    </row>
    <row r="52" spans="1:18" x14ac:dyDescent="0.25">
      <c r="A52" s="27">
        <f>IF('E-Mixed'!A52&lt;'Adj-Mixed'!$B$10,'E-Mixed'!B52," ")</f>
        <v>29.930469383586718</v>
      </c>
      <c r="B52" s="217">
        <f>IF('E-Mixed'!A52&lt;'Adj-Mixed'!$B$10,'E-Mixed'!A52," ")</f>
        <v>70</v>
      </c>
      <c r="C52" s="25">
        <f>IF('E-Mixed'!A52&lt;'Adj-Mixed'!$B$10,'E-Mixed'!C52," ")</f>
        <v>775.59878882862427</v>
      </c>
      <c r="D52" s="27">
        <f>IF('E-Mixed'!A52&lt;'Adj-Mixed'!$B$10,'E-Mixed'!G52," ")</f>
        <v>34.760332650194023</v>
      </c>
      <c r="E52" s="26">
        <f>IF('E-Mixed'!A52&lt;'Adj-Mixed'!$B$10,'E-Mixed'!D52," ")</f>
        <v>0.56302886240361127</v>
      </c>
      <c r="F52" s="216"/>
      <c r="G52" s="216">
        <f t="shared" si="0"/>
        <v>70</v>
      </c>
      <c r="H52" s="27">
        <f>IF('E-Mixed'!A52&lt;'Adj-Mixed'!$B$10,'E-Mixed'!I52," ")</f>
        <v>49.400923520177585</v>
      </c>
      <c r="I52" s="217">
        <f>IF('E-Mixed'!A52&lt;'Adj-Mixed'!$B$10,'E-Mixed'!A52," ")</f>
        <v>70</v>
      </c>
      <c r="J52" s="25">
        <f>IF('E-Mixed'!A52&lt;'Adj-Mixed'!$B$10,'E-Mixed'!J52," ")</f>
        <v>1218.9972562119967</v>
      </c>
      <c r="K52" s="27">
        <f>IF('E-Mixed'!A52&lt;'Adj-Mixed'!$B$10,'E-Mixed'!N52," ")</f>
        <v>87.14647027809481</v>
      </c>
      <c r="L52" s="26">
        <f>IF('E-Mixed'!A52&lt;'Adj-Mixed'!$B$10,'E-Mixed'!K52," ")</f>
        <v>0.35296397921884437</v>
      </c>
      <c r="M52" s="30">
        <f>IF('E-Mixed'!A52&lt;'Adj-Mixed'!$B$10,'E-Mixed'!M52," ")</f>
        <v>3.4536024296581136</v>
      </c>
      <c r="N52">
        <f>IF('E-Mixed'!A52&lt;'Adj-Mixed'!$B$10,1/L52," ")</f>
        <v>2.8331502897636502</v>
      </c>
      <c r="O52" s="19"/>
      <c r="P52">
        <f t="shared" si="2"/>
        <v>2.6874289270165561</v>
      </c>
      <c r="Q52">
        <f t="shared" si="3"/>
        <v>7.6138900432961725</v>
      </c>
      <c r="R52" s="100">
        <f t="shared" si="1"/>
        <v>108.91039353280475</v>
      </c>
    </row>
    <row r="53" spans="1:18" x14ac:dyDescent="0.25">
      <c r="A53" s="27">
        <f>IF('E-Mixed'!A53&lt;'Adj-Mixed'!$B$10,'E-Mixed'!B53," ")</f>
        <v>30.714061772390419</v>
      </c>
      <c r="B53" s="217">
        <f>IF('E-Mixed'!A53&lt;'Adj-Mixed'!$B$10,'E-Mixed'!A53," ")</f>
        <v>71</v>
      </c>
      <c r="C53" s="25">
        <f>IF('E-Mixed'!A53&lt;'Adj-Mixed'!$B$10,'E-Mixed'!C53," ")</f>
        <v>783.59238880370083</v>
      </c>
      <c r="D53" s="27">
        <f>IF('E-Mixed'!A53&lt;'Adj-Mixed'!$B$10,'E-Mixed'!G53," ")</f>
        <v>36.169783042513608</v>
      </c>
      <c r="E53" s="26">
        <f>IF('E-Mixed'!A53&lt;'Adj-Mixed'!$B$10,'E-Mixed'!D53," ")</f>
        <v>0.55595599041560906</v>
      </c>
      <c r="F53" s="216"/>
      <c r="G53" s="216">
        <f t="shared" si="0"/>
        <v>71</v>
      </c>
      <c r="H53" s="27">
        <f>IF('E-Mixed'!A53&lt;'Adj-Mixed'!$B$10,'E-Mixed'!I53," ")</f>
        <v>50.632484200388205</v>
      </c>
      <c r="I53" s="217">
        <f>IF('E-Mixed'!A53&lt;'Adj-Mixed'!$B$10,'E-Mixed'!A53," ")</f>
        <v>71</v>
      </c>
      <c r="J53" s="25">
        <f>IF('E-Mixed'!A53&lt;'Adj-Mixed'!$B$10,'E-Mixed'!J53," ")</f>
        <v>1231.5606802106224</v>
      </c>
      <c r="K53" s="27">
        <f>IF('E-Mixed'!A53&lt;'Adj-Mixed'!$B$10,'E-Mixed'!N53," ")</f>
        <v>90.680056333176523</v>
      </c>
      <c r="L53" s="26">
        <f>IF('E-Mixed'!A53&lt;'Adj-Mixed'!$B$10,'E-Mixed'!K53," ")</f>
        <v>0.34852998087862935</v>
      </c>
      <c r="M53" s="30">
        <f>IF('E-Mixed'!A53&lt;'Adj-Mixed'!$B$10,'E-Mixed'!M53," ")</f>
        <v>3.533586055081718</v>
      </c>
      <c r="N53">
        <f>IF('E-Mixed'!A53&lt;'Adj-Mixed'!$B$10,1/L53," ")</f>
        <v>2.8691936271279799</v>
      </c>
      <c r="O53" s="19"/>
      <c r="P53">
        <f t="shared" si="2"/>
        <v>2.715126535771804</v>
      </c>
      <c r="Q53">
        <f t="shared" si="3"/>
        <v>7.7902237532825298</v>
      </c>
      <c r="R53" s="100">
        <f t="shared" si="1"/>
        <v>111.62552006857655</v>
      </c>
    </row>
    <row r="54" spans="1:18" x14ac:dyDescent="0.25">
      <c r="A54" s="27">
        <f>IF('E-Mixed'!A54&lt;'Adj-Mixed'!$B$10,'E-Mixed'!B54," ")</f>
        <v>31.505486182468047</v>
      </c>
      <c r="B54" s="217">
        <f>IF('E-Mixed'!A54&lt;'Adj-Mixed'!$B$10,'E-Mixed'!A54," ")</f>
        <v>72</v>
      </c>
      <c r="C54" s="25">
        <f>IF('E-Mixed'!A54&lt;'Adj-Mixed'!$B$10,'E-Mixed'!C54," ")</f>
        <v>791.42441007762795</v>
      </c>
      <c r="D54" s="27">
        <f>IF('E-Mixed'!A54&lt;'Adj-Mixed'!$B$10,'E-Mixed'!G54," ")</f>
        <v>37.611117275676882</v>
      </c>
      <c r="E54" s="26">
        <f>IF('E-Mixed'!A54&lt;'Adj-Mixed'!$B$10,'E-Mixed'!D54," ")</f>
        <v>0.5490915235813828</v>
      </c>
      <c r="F54" s="216"/>
      <c r="G54" s="216">
        <f t="shared" si="0"/>
        <v>72</v>
      </c>
      <c r="H54" s="27">
        <f>IF('E-Mixed'!A54&lt;'Adj-Mixed'!$B$10,'E-Mixed'!I54," ")</f>
        <v>51.876354353719499</v>
      </c>
      <c r="I54" s="217">
        <f>IF('E-Mixed'!A54&lt;'Adj-Mixed'!$B$10,'E-Mixed'!A54," ")</f>
        <v>72</v>
      </c>
      <c r="J54" s="25">
        <f>IF('E-Mixed'!A54&lt;'Adj-Mixed'!$B$10,'E-Mixed'!J54," ")</f>
        <v>1243.8701533312937</v>
      </c>
      <c r="K54" s="27">
        <f>IF('E-Mixed'!A54&lt;'Adj-Mixed'!$B$10,'E-Mixed'!N54," ")</f>
        <v>94.29357730189669</v>
      </c>
      <c r="L54" s="26">
        <f>IF('E-Mixed'!A54&lt;'Adj-Mixed'!$B$10,'E-Mixed'!K54," ")</f>
        <v>0.34422663216808419</v>
      </c>
      <c r="M54" s="30">
        <f>IF('E-Mixed'!A54&lt;'Adj-Mixed'!$B$10,'E-Mixed'!M54," ")</f>
        <v>3.6135209687201599</v>
      </c>
      <c r="N54">
        <f>IF('E-Mixed'!A54&lt;'Adj-Mixed'!$B$10,1/L54," ")</f>
        <v>2.9050628468273336</v>
      </c>
      <c r="O54" s="19"/>
      <c r="P54">
        <f t="shared" si="2"/>
        <v>2.7422642786766755</v>
      </c>
      <c r="Q54">
        <f t="shared" si="3"/>
        <v>7.966450072165367</v>
      </c>
      <c r="R54" s="100">
        <f t="shared" si="1"/>
        <v>114.36778434725323</v>
      </c>
    </row>
    <row r="55" spans="1:18" x14ac:dyDescent="0.25">
      <c r="A55" s="27">
        <f>IF('E-Mixed'!A55&lt;'Adj-Mixed'!$B$10,'E-Mixed'!B55," ")</f>
        <v>32.304580089573051</v>
      </c>
      <c r="B55" s="217">
        <f>IF('E-Mixed'!A55&lt;'Adj-Mixed'!$B$10,'E-Mixed'!A55," ")</f>
        <v>73</v>
      </c>
      <c r="C55" s="25">
        <f>IF('E-Mixed'!A55&lt;'Adj-Mixed'!$B$10,'E-Mixed'!C55," ")</f>
        <v>799.09390710500361</v>
      </c>
      <c r="D55" s="27">
        <f>IF('E-Mixed'!A55&lt;'Adj-Mixed'!$B$10,'E-Mixed'!G55," ")</f>
        <v>39.084297566740069</v>
      </c>
      <c r="E55" s="26">
        <f>IF('E-Mixed'!A55&lt;'Adj-Mixed'!$B$10,'E-Mixed'!D55," ")</f>
        <v>0.54242777476224746</v>
      </c>
      <c r="F55" s="216"/>
      <c r="G55" s="216">
        <f t="shared" si="0"/>
        <v>73</v>
      </c>
      <c r="H55" s="27">
        <f>IF('E-Mixed'!A55&lt;'Adj-Mixed'!$B$10,'E-Mixed'!I55," ")</f>
        <v>53.13227854319365</v>
      </c>
      <c r="I55" s="217">
        <f>IF('E-Mixed'!A55&lt;'Adj-Mixed'!$B$10,'E-Mixed'!A55," ")</f>
        <v>73</v>
      </c>
      <c r="J55" s="25">
        <f>IF('E-Mixed'!A55&lt;'Adj-Mixed'!$B$10,'E-Mixed'!J55," ")</f>
        <v>1255.9241894741517</v>
      </c>
      <c r="K55" s="27">
        <f>IF('E-Mixed'!A55&lt;'Adj-Mixed'!$B$10,'E-Mixed'!N55," ")</f>
        <v>97.986938459897473</v>
      </c>
      <c r="L55" s="26">
        <f>IF('E-Mixed'!A55&lt;'Adj-Mixed'!$B$10,'E-Mixed'!K55," ")</f>
        <v>0.34004911400378307</v>
      </c>
      <c r="M55" s="30">
        <f>IF('E-Mixed'!A55&lt;'Adj-Mixed'!$B$10,'E-Mixed'!M55," ")</f>
        <v>3.6933611580007808</v>
      </c>
      <c r="N55">
        <f>IF('E-Mixed'!A55&lt;'Adj-Mixed'!$B$10,1/L55," ")</f>
        <v>2.9407516703274661</v>
      </c>
      <c r="O55" s="19"/>
      <c r="P55">
        <f t="shared" si="2"/>
        <v>2.7688388794418031</v>
      </c>
      <c r="Q55">
        <f t="shared" si="3"/>
        <v>8.1424675595861125</v>
      </c>
      <c r="R55" s="100">
        <f t="shared" si="1"/>
        <v>117.13662322669504</v>
      </c>
    </row>
    <row r="56" spans="1:18" x14ac:dyDescent="0.25">
      <c r="A56" s="27">
        <f>IF('E-Mixed'!A56&lt;'Adj-Mixed'!$B$10,'E-Mixed'!B56," ")</f>
        <v>33.111180122067353</v>
      </c>
      <c r="B56" s="217">
        <f>IF('E-Mixed'!A56&lt;'Adj-Mixed'!$B$10,'E-Mixed'!A56," ")</f>
        <v>74</v>
      </c>
      <c r="C56" s="25">
        <f>IF('E-Mixed'!A56&lt;'Adj-Mixed'!$B$10,'E-Mixed'!C56," ")</f>
        <v>806.6000324943019</v>
      </c>
      <c r="D56" s="27">
        <f>IF('E-Mixed'!A56&lt;'Adj-Mixed'!$B$10,'E-Mixed'!G56," ")</f>
        <v>40.589268150460704</v>
      </c>
      <c r="E56" s="26">
        <f>IF('E-Mixed'!A56&lt;'Adj-Mixed'!$B$10,'E-Mixed'!D56," ")</f>
        <v>0.53595734110643256</v>
      </c>
      <c r="F56" s="216"/>
      <c r="G56" s="216">
        <f t="shared" si="0"/>
        <v>74</v>
      </c>
      <c r="H56" s="27">
        <f>IF('E-Mixed'!A56&lt;'Adj-Mixed'!$B$10,'E-Mixed'!I56," ")</f>
        <v>54.4</v>
      </c>
      <c r="I56" s="217">
        <f>IF('E-Mixed'!A56&lt;'Adj-Mixed'!$B$10,'E-Mixed'!A56," ")</f>
        <v>74</v>
      </c>
      <c r="J56" s="25">
        <f>IF('E-Mixed'!A56&lt;'Adj-Mixed'!$B$10,'E-Mixed'!J56," ")</f>
        <v>1267.7214568063464</v>
      </c>
      <c r="K56" s="27">
        <f>IF('E-Mixed'!A56&lt;'Adj-Mixed'!$B$10,'E-Mixed'!N56," ")</f>
        <v>101.75999999999998</v>
      </c>
      <c r="L56" s="26">
        <f>IF('E-Mixed'!A56&lt;'Adj-Mixed'!$B$10,'E-Mixed'!K56," ")</f>
        <v>0.33599278552236539</v>
      </c>
      <c r="M56" s="30">
        <f>IF('E-Mixed'!A56&lt;'Adj-Mixed'!$B$10,'E-Mixed'!M56," ")</f>
        <v>3.7730615401025043</v>
      </c>
      <c r="N56">
        <f>IF('E-Mixed'!A56&lt;'Adj-Mixed'!$B$10,1/L56," ")</f>
        <v>2.9762543813115143</v>
      </c>
      <c r="O56" s="19"/>
      <c r="P56">
        <f t="shared" si="2"/>
        <v>2.7948474018783567</v>
      </c>
      <c r="Q56">
        <f t="shared" si="3"/>
        <v>8.3181768249375629</v>
      </c>
      <c r="R56" s="100">
        <f t="shared" si="1"/>
        <v>119.93147062857339</v>
      </c>
    </row>
    <row r="57" spans="1:18" x14ac:dyDescent="0.25">
      <c r="A57" s="27" t="str">
        <f>IF('E-Mixed'!A57&lt;'Adj-Mixed'!$B$10,'E-Mixed'!B57," ")</f>
        <v xml:space="preserve"> </v>
      </c>
      <c r="B57" s="217" t="str">
        <f>IF('E-Mixed'!A57&lt;'Adj-Mixed'!$B$10,'E-Mixed'!A57," ")</f>
        <v xml:space="preserve"> </v>
      </c>
      <c r="C57" s="25" t="str">
        <f>IF('E-Mixed'!A57&lt;'Adj-Mixed'!$B$10,'E-Mixed'!C57," ")</f>
        <v xml:space="preserve"> </v>
      </c>
      <c r="D57" s="27" t="str">
        <f>IF('E-Mixed'!A57&lt;'Adj-Mixed'!$B$10,'E-Mixed'!G57," ")</f>
        <v xml:space="preserve"> </v>
      </c>
      <c r="E57" s="26" t="str">
        <f>IF('E-Mixed'!A57&lt;'Adj-Mixed'!$B$10,'E-Mixed'!D57," ")</f>
        <v xml:space="preserve"> </v>
      </c>
      <c r="F57" s="216"/>
      <c r="G57" s="216" t="str">
        <f t="shared" si="0"/>
        <v xml:space="preserve"> </v>
      </c>
      <c r="H57" s="27" t="str">
        <f>IF('E-Mixed'!A57&lt;'Adj-Mixed'!$B$10,'E-Mixed'!I57," ")</f>
        <v xml:space="preserve"> </v>
      </c>
      <c r="I57" s="217" t="str">
        <f>IF('E-Mixed'!A57&lt;'Adj-Mixed'!$B$10,'E-Mixed'!A57," ")</f>
        <v xml:space="preserve"> </v>
      </c>
      <c r="J57" s="25" t="str">
        <f>IF('E-Mixed'!A57&lt;'Adj-Mixed'!$B$10,'E-Mixed'!J57," ")</f>
        <v xml:space="preserve"> </v>
      </c>
      <c r="K57" s="27" t="str">
        <f>IF('E-Mixed'!A57&lt;'Adj-Mixed'!$B$10,'E-Mixed'!N57," ")</f>
        <v xml:space="preserve"> </v>
      </c>
      <c r="L57" s="26" t="str">
        <f>IF('E-Mixed'!A57&lt;'Adj-Mixed'!$B$10,'E-Mixed'!K57," ")</f>
        <v xml:space="preserve"> </v>
      </c>
      <c r="M57" s="30" t="str">
        <f>IF('E-Mixed'!A57&lt;'Adj-Mixed'!$B$10,'E-Mixed'!M57," ")</f>
        <v xml:space="preserve"> </v>
      </c>
      <c r="N57" t="str">
        <f>IF('E-Mixed'!A57&lt;'Adj-Mixed'!$B$10,1/L57," ")</f>
        <v xml:space="preserve"> </v>
      </c>
      <c r="O57" s="19"/>
      <c r="P57" t="str">
        <f t="shared" si="2"/>
        <v/>
      </c>
      <c r="Q57" t="str">
        <f t="shared" si="3"/>
        <v/>
      </c>
      <c r="R57" s="100" t="str">
        <f t="shared" si="1"/>
        <v/>
      </c>
    </row>
    <row r="58" spans="1:18" x14ac:dyDescent="0.25">
      <c r="A58" s="27" t="str">
        <f>IF('E-Mixed'!A58&lt;'Adj-Mixed'!$B$10,'E-Mixed'!B58," ")</f>
        <v xml:space="preserve"> </v>
      </c>
      <c r="B58" s="217" t="str">
        <f>IF('E-Mixed'!A58&lt;'Adj-Mixed'!$B$10,'E-Mixed'!A58," ")</f>
        <v xml:space="preserve"> </v>
      </c>
      <c r="C58" s="25" t="str">
        <f>IF('E-Mixed'!A58&lt;'Adj-Mixed'!$B$10,'E-Mixed'!C58," ")</f>
        <v xml:space="preserve"> </v>
      </c>
      <c r="D58" s="27" t="str">
        <f>IF('E-Mixed'!A58&lt;'Adj-Mixed'!$B$10,'E-Mixed'!G58," ")</f>
        <v xml:space="preserve"> </v>
      </c>
      <c r="E58" s="26" t="str">
        <f>IF('E-Mixed'!A58&lt;'Adj-Mixed'!$B$10,'E-Mixed'!D58," ")</f>
        <v xml:space="preserve"> </v>
      </c>
      <c r="F58" s="216"/>
      <c r="G58" s="216" t="str">
        <f t="shared" si="0"/>
        <v xml:space="preserve"> </v>
      </c>
      <c r="H58" s="27" t="str">
        <f>IF('E-Mixed'!A58&lt;'Adj-Mixed'!$B$10,'E-Mixed'!I58," ")</f>
        <v xml:space="preserve"> </v>
      </c>
      <c r="I58" s="217" t="str">
        <f>IF('E-Mixed'!A58&lt;'Adj-Mixed'!$B$10,'E-Mixed'!A58," ")</f>
        <v xml:space="preserve"> </v>
      </c>
      <c r="J58" s="25" t="str">
        <f>IF('E-Mixed'!A58&lt;'Adj-Mixed'!$B$10,'E-Mixed'!J58," ")</f>
        <v xml:space="preserve"> </v>
      </c>
      <c r="K58" s="27" t="str">
        <f>IF('E-Mixed'!A58&lt;'Adj-Mixed'!$B$10,'E-Mixed'!N58," ")</f>
        <v xml:space="preserve"> </v>
      </c>
      <c r="L58" s="26" t="str">
        <f>IF('E-Mixed'!A58&lt;'Adj-Mixed'!$B$10,'E-Mixed'!K58," ")</f>
        <v xml:space="preserve"> </v>
      </c>
      <c r="M58" s="30" t="str">
        <f>IF('E-Mixed'!A58&lt;'Adj-Mixed'!$B$10,'E-Mixed'!M58," ")</f>
        <v xml:space="preserve"> </v>
      </c>
      <c r="N58" t="str">
        <f>IF('E-Mixed'!A58&lt;'Adj-Mixed'!$B$10,1/L58," ")</f>
        <v xml:space="preserve"> </v>
      </c>
      <c r="O58" s="19"/>
      <c r="P58" t="str">
        <f t="shared" si="2"/>
        <v/>
      </c>
      <c r="Q58" t="str">
        <f t="shared" si="3"/>
        <v/>
      </c>
      <c r="R58" s="100" t="str">
        <f t="shared" si="1"/>
        <v/>
      </c>
    </row>
    <row r="59" spans="1:18" x14ac:dyDescent="0.25">
      <c r="A59" s="27" t="str">
        <f>IF('E-Mixed'!A59&lt;'Adj-Mixed'!$B$10,'E-Mixed'!B59," ")</f>
        <v xml:space="preserve"> </v>
      </c>
      <c r="B59" s="217" t="str">
        <f>IF('E-Mixed'!A59&lt;'Adj-Mixed'!$B$10,'E-Mixed'!A59," ")</f>
        <v xml:space="preserve"> </v>
      </c>
      <c r="C59" s="25" t="str">
        <f>IF('E-Mixed'!A59&lt;'Adj-Mixed'!$B$10,'E-Mixed'!C59," ")</f>
        <v xml:space="preserve"> </v>
      </c>
      <c r="D59" s="27" t="str">
        <f>IF('E-Mixed'!A59&lt;'Adj-Mixed'!$B$10,'E-Mixed'!G59," ")</f>
        <v xml:space="preserve"> </v>
      </c>
      <c r="E59" s="26" t="str">
        <f>IF('E-Mixed'!A59&lt;'Adj-Mixed'!$B$10,'E-Mixed'!D59," ")</f>
        <v xml:space="preserve"> </v>
      </c>
      <c r="F59" s="216"/>
      <c r="G59" s="216" t="str">
        <f t="shared" si="0"/>
        <v xml:space="preserve"> </v>
      </c>
      <c r="H59" s="27" t="str">
        <f>IF('E-Mixed'!A59&lt;'Adj-Mixed'!$B$10,'E-Mixed'!I59," ")</f>
        <v xml:space="preserve"> </v>
      </c>
      <c r="I59" s="217" t="str">
        <f>IF('E-Mixed'!A59&lt;'Adj-Mixed'!$B$10,'E-Mixed'!A59," ")</f>
        <v xml:space="preserve"> </v>
      </c>
      <c r="J59" s="25" t="str">
        <f>IF('E-Mixed'!A59&lt;'Adj-Mixed'!$B$10,'E-Mixed'!J59," ")</f>
        <v xml:space="preserve"> </v>
      </c>
      <c r="K59" s="27" t="str">
        <f>IF('E-Mixed'!A59&lt;'Adj-Mixed'!$B$10,'E-Mixed'!N59," ")</f>
        <v xml:space="preserve"> </v>
      </c>
      <c r="L59" s="26" t="str">
        <f>IF('E-Mixed'!A59&lt;'Adj-Mixed'!$B$10,'E-Mixed'!K59," ")</f>
        <v xml:space="preserve"> </v>
      </c>
      <c r="M59" s="30" t="str">
        <f>IF('E-Mixed'!A59&lt;'Adj-Mixed'!$B$10,'E-Mixed'!M59," ")</f>
        <v xml:space="preserve"> </v>
      </c>
      <c r="N59" t="str">
        <f>IF('E-Mixed'!A59&lt;'Adj-Mixed'!$B$10,1/L59," ")</f>
        <v xml:space="preserve"> </v>
      </c>
      <c r="O59" s="19"/>
      <c r="P59" t="str">
        <f t="shared" si="2"/>
        <v/>
      </c>
      <c r="Q59" t="str">
        <f t="shared" si="3"/>
        <v/>
      </c>
      <c r="R59" s="100" t="str">
        <f t="shared" si="1"/>
        <v/>
      </c>
    </row>
    <row r="60" spans="1:18" x14ac:dyDescent="0.25">
      <c r="A60" s="27" t="str">
        <f>IF('E-Mixed'!A60&lt;'Adj-Mixed'!$B$10,'E-Mixed'!B60," ")</f>
        <v xml:space="preserve"> </v>
      </c>
      <c r="B60" s="217" t="str">
        <f>IF('E-Mixed'!A60&lt;'Adj-Mixed'!$B$10,'E-Mixed'!A60," ")</f>
        <v xml:space="preserve"> </v>
      </c>
      <c r="C60" s="25" t="str">
        <f>IF('E-Mixed'!A60&lt;'Adj-Mixed'!$B$10,'E-Mixed'!C60," ")</f>
        <v xml:space="preserve"> </v>
      </c>
      <c r="D60" s="27" t="str">
        <f>IF('E-Mixed'!A60&lt;'Adj-Mixed'!$B$10,'E-Mixed'!G60," ")</f>
        <v xml:space="preserve"> </v>
      </c>
      <c r="E60" s="26" t="str">
        <f>IF('E-Mixed'!A60&lt;'Adj-Mixed'!$B$10,'E-Mixed'!D60," ")</f>
        <v xml:space="preserve"> </v>
      </c>
      <c r="F60" s="216"/>
      <c r="G60" s="216" t="str">
        <f t="shared" si="0"/>
        <v xml:space="preserve"> </v>
      </c>
      <c r="H60" s="27" t="str">
        <f>IF('E-Mixed'!A60&lt;'Adj-Mixed'!$B$10,'E-Mixed'!I60," ")</f>
        <v xml:space="preserve"> </v>
      </c>
      <c r="I60" s="217" t="str">
        <f>IF('E-Mixed'!A60&lt;'Adj-Mixed'!$B$10,'E-Mixed'!A60," ")</f>
        <v xml:space="preserve"> </v>
      </c>
      <c r="J60" s="25" t="str">
        <f>IF('E-Mixed'!A60&lt;'Adj-Mixed'!$B$10,'E-Mixed'!J60," ")</f>
        <v xml:space="preserve"> </v>
      </c>
      <c r="K60" s="27" t="str">
        <f>IF('E-Mixed'!A60&lt;'Adj-Mixed'!$B$10,'E-Mixed'!N60," ")</f>
        <v xml:space="preserve"> </v>
      </c>
      <c r="L60" s="26" t="str">
        <f>IF('E-Mixed'!A60&lt;'Adj-Mixed'!$B$10,'E-Mixed'!K60," ")</f>
        <v xml:space="preserve"> </v>
      </c>
      <c r="M60" s="30" t="str">
        <f>IF('E-Mixed'!A60&lt;'Adj-Mixed'!$B$10,'E-Mixed'!M60," ")</f>
        <v xml:space="preserve"> </v>
      </c>
      <c r="N60" t="str">
        <f>IF('E-Mixed'!A60&lt;'Adj-Mixed'!$B$10,1/L60," ")</f>
        <v xml:space="preserve"> </v>
      </c>
      <c r="O60" s="19"/>
      <c r="P60" t="str">
        <f t="shared" si="2"/>
        <v/>
      </c>
      <c r="Q60" t="str">
        <f t="shared" si="3"/>
        <v/>
      </c>
      <c r="R60" s="100" t="str">
        <f t="shared" si="1"/>
        <v/>
      </c>
    </row>
    <row r="61" spans="1:18" x14ac:dyDescent="0.25">
      <c r="A61" s="27" t="str">
        <f>IF('E-Mixed'!A61&lt;'Adj-Mixed'!$B$10,'E-Mixed'!B61," ")</f>
        <v xml:space="preserve"> </v>
      </c>
      <c r="B61" s="217" t="str">
        <f>IF('E-Mixed'!A61&lt;'Adj-Mixed'!$B$10,'E-Mixed'!A61," ")</f>
        <v xml:space="preserve"> </v>
      </c>
      <c r="C61" s="25" t="str">
        <f>IF('E-Mixed'!A61&lt;'Adj-Mixed'!$B$10,'E-Mixed'!C61," ")</f>
        <v xml:space="preserve"> </v>
      </c>
      <c r="D61" s="27" t="str">
        <f>IF('E-Mixed'!A61&lt;'Adj-Mixed'!$B$10,'E-Mixed'!G61," ")</f>
        <v xml:space="preserve"> </v>
      </c>
      <c r="E61" s="26" t="str">
        <f>IF('E-Mixed'!A61&lt;'Adj-Mixed'!$B$10,'E-Mixed'!D61," ")</f>
        <v xml:space="preserve"> </v>
      </c>
      <c r="F61" s="216"/>
      <c r="G61" s="216" t="str">
        <f t="shared" si="0"/>
        <v xml:space="preserve"> </v>
      </c>
      <c r="H61" s="27" t="str">
        <f>IF('E-Mixed'!A61&lt;'Adj-Mixed'!$B$10,'E-Mixed'!I61," ")</f>
        <v xml:space="preserve"> </v>
      </c>
      <c r="I61" s="217" t="str">
        <f>IF('E-Mixed'!A61&lt;'Adj-Mixed'!$B$10,'E-Mixed'!A61," ")</f>
        <v xml:space="preserve"> </v>
      </c>
      <c r="J61" s="25" t="str">
        <f>IF('E-Mixed'!A61&lt;'Adj-Mixed'!$B$10,'E-Mixed'!J61," ")</f>
        <v xml:space="preserve"> </v>
      </c>
      <c r="K61" s="27" t="str">
        <f>IF('E-Mixed'!A61&lt;'Adj-Mixed'!$B$10,'E-Mixed'!N61," ")</f>
        <v xml:space="preserve"> </v>
      </c>
      <c r="L61" s="26" t="str">
        <f>IF('E-Mixed'!A61&lt;'Adj-Mixed'!$B$10,'E-Mixed'!K61," ")</f>
        <v xml:space="preserve"> </v>
      </c>
      <c r="M61" s="30" t="str">
        <f>IF('E-Mixed'!A61&lt;'Adj-Mixed'!$B$10,'E-Mixed'!M61," ")</f>
        <v xml:space="preserve"> </v>
      </c>
      <c r="N61" t="str">
        <f>IF('E-Mixed'!A61&lt;'Adj-Mixed'!$B$10,1/L61," ")</f>
        <v xml:space="preserve"> </v>
      </c>
      <c r="O61" s="19"/>
      <c r="P61" t="str">
        <f t="shared" si="2"/>
        <v/>
      </c>
      <c r="Q61" t="str">
        <f t="shared" si="3"/>
        <v/>
      </c>
      <c r="R61" s="100" t="str">
        <f t="shared" si="1"/>
        <v/>
      </c>
    </row>
    <row r="62" spans="1:18" x14ac:dyDescent="0.25">
      <c r="A62" s="27" t="str">
        <f>IF('E-Mixed'!A62&lt;'Adj-Mixed'!$B$10,'E-Mixed'!B62," ")</f>
        <v xml:space="preserve"> </v>
      </c>
      <c r="B62" s="217" t="str">
        <f>IF('E-Mixed'!A62&lt;'Adj-Mixed'!$B$10,'E-Mixed'!A62," ")</f>
        <v xml:space="preserve"> </v>
      </c>
      <c r="C62" s="25" t="str">
        <f>IF('E-Mixed'!A62&lt;'Adj-Mixed'!$B$10,'E-Mixed'!C62," ")</f>
        <v xml:space="preserve"> </v>
      </c>
      <c r="D62" s="27" t="str">
        <f>IF('E-Mixed'!A62&lt;'Adj-Mixed'!$B$10,'E-Mixed'!G62," ")</f>
        <v xml:space="preserve"> </v>
      </c>
      <c r="E62" s="26" t="str">
        <f>IF('E-Mixed'!A62&lt;'Adj-Mixed'!$B$10,'E-Mixed'!D62," ")</f>
        <v xml:space="preserve"> </v>
      </c>
      <c r="F62" s="216"/>
      <c r="G62" s="216" t="str">
        <f t="shared" si="0"/>
        <v xml:space="preserve"> </v>
      </c>
      <c r="H62" s="27" t="str">
        <f>IF('E-Mixed'!A62&lt;'Adj-Mixed'!$B$10,'E-Mixed'!I62," ")</f>
        <v xml:space="preserve"> </v>
      </c>
      <c r="I62" s="217" t="str">
        <f>IF('E-Mixed'!A62&lt;'Adj-Mixed'!$B$10,'E-Mixed'!A62," ")</f>
        <v xml:space="preserve"> </v>
      </c>
      <c r="J62" s="25" t="str">
        <f>IF('E-Mixed'!A62&lt;'Adj-Mixed'!$B$10,'E-Mixed'!J62," ")</f>
        <v xml:space="preserve"> </v>
      </c>
      <c r="K62" s="27" t="str">
        <f>IF('E-Mixed'!A62&lt;'Adj-Mixed'!$B$10,'E-Mixed'!N62," ")</f>
        <v xml:space="preserve"> </v>
      </c>
      <c r="L62" s="26" t="str">
        <f>IF('E-Mixed'!A62&lt;'Adj-Mixed'!$B$10,'E-Mixed'!K62," ")</f>
        <v xml:space="preserve"> </v>
      </c>
      <c r="M62" s="30" t="str">
        <f>IF('E-Mixed'!A62&lt;'Adj-Mixed'!$B$10,'E-Mixed'!M62," ")</f>
        <v xml:space="preserve"> </v>
      </c>
      <c r="N62" t="str">
        <f>IF('E-Mixed'!A62&lt;'Adj-Mixed'!$B$10,1/L62," ")</f>
        <v xml:space="preserve"> </v>
      </c>
      <c r="O62" s="19"/>
      <c r="P62" t="str">
        <f t="shared" si="2"/>
        <v/>
      </c>
      <c r="Q62" t="str">
        <f t="shared" si="3"/>
        <v/>
      </c>
      <c r="R62" s="100" t="str">
        <f t="shared" si="1"/>
        <v/>
      </c>
    </row>
    <row r="63" spans="1:18" x14ac:dyDescent="0.25">
      <c r="A63" s="27" t="str">
        <f>IF('E-Mixed'!A63&lt;'Adj-Mixed'!$B$10,'E-Mixed'!B63," ")</f>
        <v xml:space="preserve"> </v>
      </c>
      <c r="B63" s="217" t="str">
        <f>IF('E-Mixed'!A63&lt;'Adj-Mixed'!$B$10,'E-Mixed'!A63," ")</f>
        <v xml:space="preserve"> </v>
      </c>
      <c r="C63" s="25" t="str">
        <f>IF('E-Mixed'!A63&lt;'Adj-Mixed'!$B$10,'E-Mixed'!C63," ")</f>
        <v xml:space="preserve"> </v>
      </c>
      <c r="D63" s="27" t="str">
        <f>IF('E-Mixed'!A63&lt;'Adj-Mixed'!$B$10,'E-Mixed'!G63," ")</f>
        <v xml:space="preserve"> </v>
      </c>
      <c r="E63" s="26" t="str">
        <f>IF('E-Mixed'!A63&lt;'Adj-Mixed'!$B$10,'E-Mixed'!D63," ")</f>
        <v xml:space="preserve"> </v>
      </c>
      <c r="F63" s="216"/>
      <c r="G63" s="216" t="str">
        <f t="shared" si="0"/>
        <v xml:space="preserve"> </v>
      </c>
      <c r="H63" s="27" t="str">
        <f>IF('E-Mixed'!A63&lt;'Adj-Mixed'!$B$10,'E-Mixed'!I63," ")</f>
        <v xml:space="preserve"> </v>
      </c>
      <c r="I63" s="217" t="str">
        <f>IF('E-Mixed'!A63&lt;'Adj-Mixed'!$B$10,'E-Mixed'!A63," ")</f>
        <v xml:space="preserve"> </v>
      </c>
      <c r="J63" s="25" t="str">
        <f>IF('E-Mixed'!A63&lt;'Adj-Mixed'!$B$10,'E-Mixed'!J63," ")</f>
        <v xml:space="preserve"> </v>
      </c>
      <c r="K63" s="27" t="str">
        <f>IF('E-Mixed'!A63&lt;'Adj-Mixed'!$B$10,'E-Mixed'!N63," ")</f>
        <v xml:space="preserve"> </v>
      </c>
      <c r="L63" s="26" t="str">
        <f>IF('E-Mixed'!A63&lt;'Adj-Mixed'!$B$10,'E-Mixed'!K63," ")</f>
        <v xml:space="preserve"> </v>
      </c>
      <c r="M63" s="30" t="str">
        <f>IF('E-Mixed'!A63&lt;'Adj-Mixed'!$B$10,'E-Mixed'!M63," ")</f>
        <v xml:space="preserve"> </v>
      </c>
      <c r="N63" t="str">
        <f>IF('E-Mixed'!A63&lt;'Adj-Mixed'!$B$10,1/L63," ")</f>
        <v xml:space="preserve"> </v>
      </c>
      <c r="O63" s="19"/>
      <c r="P63" t="str">
        <f t="shared" si="2"/>
        <v/>
      </c>
      <c r="Q63" t="str">
        <f t="shared" si="3"/>
        <v/>
      </c>
      <c r="R63" s="100" t="str">
        <f t="shared" si="1"/>
        <v/>
      </c>
    </row>
    <row r="64" spans="1:18" x14ac:dyDescent="0.25">
      <c r="A64" s="27" t="str">
        <f>IF('E-Mixed'!A64&lt;'Adj-Mixed'!$B$10,'E-Mixed'!B64," ")</f>
        <v xml:space="preserve"> </v>
      </c>
      <c r="B64" s="217" t="str">
        <f>IF('E-Mixed'!A64&lt;'Adj-Mixed'!$B$10,'E-Mixed'!A64," ")</f>
        <v xml:space="preserve"> </v>
      </c>
      <c r="C64" s="25" t="str">
        <f>IF('E-Mixed'!A64&lt;'Adj-Mixed'!$B$10,'E-Mixed'!C64," ")</f>
        <v xml:space="preserve"> </v>
      </c>
      <c r="D64" s="27" t="str">
        <f>IF('E-Mixed'!A64&lt;'Adj-Mixed'!$B$10,'E-Mixed'!G64," ")</f>
        <v xml:space="preserve"> </v>
      </c>
      <c r="E64" s="26" t="str">
        <f>IF('E-Mixed'!A64&lt;'Adj-Mixed'!$B$10,'E-Mixed'!D64," ")</f>
        <v xml:space="preserve"> </v>
      </c>
      <c r="F64" s="216"/>
      <c r="G64" s="216" t="str">
        <f t="shared" si="0"/>
        <v xml:space="preserve"> </v>
      </c>
      <c r="H64" s="27" t="str">
        <f>IF('E-Mixed'!A64&lt;'Adj-Mixed'!$B$10,'E-Mixed'!I64," ")</f>
        <v xml:space="preserve"> </v>
      </c>
      <c r="I64" s="217" t="str">
        <f>IF('E-Mixed'!A64&lt;'Adj-Mixed'!$B$10,'E-Mixed'!A64," ")</f>
        <v xml:space="preserve"> </v>
      </c>
      <c r="J64" s="25" t="str">
        <f>IF('E-Mixed'!A64&lt;'Adj-Mixed'!$B$10,'E-Mixed'!J64," ")</f>
        <v xml:space="preserve"> </v>
      </c>
      <c r="K64" s="27" t="str">
        <f>IF('E-Mixed'!A64&lt;'Adj-Mixed'!$B$10,'E-Mixed'!N64," ")</f>
        <v xml:space="preserve"> </v>
      </c>
      <c r="L64" s="26" t="str">
        <f>IF('E-Mixed'!A64&lt;'Adj-Mixed'!$B$10,'E-Mixed'!K64," ")</f>
        <v xml:space="preserve"> </v>
      </c>
      <c r="M64" s="30" t="str">
        <f>IF('E-Mixed'!A64&lt;'Adj-Mixed'!$B$10,'E-Mixed'!M64," ")</f>
        <v xml:space="preserve"> </v>
      </c>
      <c r="N64" t="str">
        <f>IF('E-Mixed'!A64&lt;'Adj-Mixed'!$B$10,1/L64," ")</f>
        <v xml:space="preserve"> </v>
      </c>
      <c r="O64" s="19"/>
      <c r="P64" t="str">
        <f t="shared" si="2"/>
        <v/>
      </c>
      <c r="Q64" t="str">
        <f t="shared" si="3"/>
        <v/>
      </c>
      <c r="R64" s="100" t="str">
        <f t="shared" si="1"/>
        <v/>
      </c>
    </row>
    <row r="65" spans="1:18" x14ac:dyDescent="0.25">
      <c r="A65" s="27" t="str">
        <f>IF('E-Mixed'!A65&lt;'Adj-Mixed'!$B$10,'E-Mixed'!B65," ")</f>
        <v xml:space="preserve"> </v>
      </c>
      <c r="B65" s="217" t="str">
        <f>IF('E-Mixed'!A65&lt;'Adj-Mixed'!$B$10,'E-Mixed'!A65," ")</f>
        <v xml:space="preserve"> </v>
      </c>
      <c r="C65" s="25" t="str">
        <f>IF('E-Mixed'!A65&lt;'Adj-Mixed'!$B$10,'E-Mixed'!C65," ")</f>
        <v xml:space="preserve"> </v>
      </c>
      <c r="D65" s="27" t="str">
        <f>IF('E-Mixed'!A65&lt;'Adj-Mixed'!$B$10,'E-Mixed'!G65," ")</f>
        <v xml:space="preserve"> </v>
      </c>
      <c r="E65" s="26" t="str">
        <f>IF('E-Mixed'!A65&lt;'Adj-Mixed'!$B$10,'E-Mixed'!D65," ")</f>
        <v xml:space="preserve"> </v>
      </c>
      <c r="F65" s="216"/>
      <c r="G65" s="216" t="str">
        <f t="shared" si="0"/>
        <v xml:space="preserve"> </v>
      </c>
      <c r="H65" s="27" t="str">
        <f>IF('E-Mixed'!A65&lt;'Adj-Mixed'!$B$10,'E-Mixed'!I65," ")</f>
        <v xml:space="preserve"> </v>
      </c>
      <c r="I65" s="217" t="str">
        <f>IF('E-Mixed'!A65&lt;'Adj-Mixed'!$B$10,'E-Mixed'!A65," ")</f>
        <v xml:space="preserve"> </v>
      </c>
      <c r="J65" s="25" t="str">
        <f>IF('E-Mixed'!A65&lt;'Adj-Mixed'!$B$10,'E-Mixed'!J65," ")</f>
        <v xml:space="preserve"> </v>
      </c>
      <c r="K65" s="27" t="str">
        <f>IF('E-Mixed'!A65&lt;'Adj-Mixed'!$B$10,'E-Mixed'!N65," ")</f>
        <v xml:space="preserve"> </v>
      </c>
      <c r="L65" s="26" t="str">
        <f>IF('E-Mixed'!A65&lt;'Adj-Mixed'!$B$10,'E-Mixed'!K65," ")</f>
        <v xml:space="preserve"> </v>
      </c>
      <c r="M65" s="30" t="str">
        <f>IF('E-Mixed'!A65&lt;'Adj-Mixed'!$B$10,'E-Mixed'!M65," ")</f>
        <v xml:space="preserve"> </v>
      </c>
      <c r="N65" t="str">
        <f>IF('E-Mixed'!A65&lt;'Adj-Mixed'!$B$10,1/L65," ")</f>
        <v xml:space="preserve"> </v>
      </c>
      <c r="O65" s="19"/>
      <c r="P65" t="str">
        <f t="shared" si="2"/>
        <v/>
      </c>
      <c r="Q65" t="str">
        <f t="shared" si="3"/>
        <v/>
      </c>
      <c r="R65" s="100" t="str">
        <f t="shared" si="1"/>
        <v/>
      </c>
    </row>
    <row r="66" spans="1:18" x14ac:dyDescent="0.25">
      <c r="A66" s="27" t="str">
        <f>IF('E-Mixed'!A66&lt;'Adj-Mixed'!$B$10,'E-Mixed'!B66," ")</f>
        <v xml:space="preserve"> </v>
      </c>
      <c r="B66" s="217" t="str">
        <f>IF('E-Mixed'!A66&lt;'Adj-Mixed'!$B$10,'E-Mixed'!A66," ")</f>
        <v xml:space="preserve"> </v>
      </c>
      <c r="C66" s="25" t="str">
        <f>IF('E-Mixed'!A66&lt;'Adj-Mixed'!$B$10,'E-Mixed'!C66," ")</f>
        <v xml:space="preserve"> </v>
      </c>
      <c r="D66" s="27" t="str">
        <f>IF('E-Mixed'!A66&lt;'Adj-Mixed'!$B$10,'E-Mixed'!G66," ")</f>
        <v xml:space="preserve"> </v>
      </c>
      <c r="E66" s="26" t="str">
        <f>IF('E-Mixed'!A66&lt;'Adj-Mixed'!$B$10,'E-Mixed'!D66," ")</f>
        <v xml:space="preserve"> </v>
      </c>
      <c r="F66" s="216"/>
      <c r="G66" s="216" t="str">
        <f t="shared" si="0"/>
        <v xml:space="preserve"> </v>
      </c>
      <c r="H66" s="27" t="str">
        <f>IF('E-Mixed'!A66&lt;'Adj-Mixed'!$B$10,'E-Mixed'!I66," ")</f>
        <v xml:space="preserve"> </v>
      </c>
      <c r="I66" s="217" t="str">
        <f>IF('E-Mixed'!A66&lt;'Adj-Mixed'!$B$10,'E-Mixed'!A66," ")</f>
        <v xml:space="preserve"> </v>
      </c>
      <c r="J66" s="25" t="str">
        <f>IF('E-Mixed'!A66&lt;'Adj-Mixed'!$B$10,'E-Mixed'!J66," ")</f>
        <v xml:space="preserve"> </v>
      </c>
      <c r="K66" s="27" t="str">
        <f>IF('E-Mixed'!A66&lt;'Adj-Mixed'!$B$10,'E-Mixed'!N66," ")</f>
        <v xml:space="preserve"> </v>
      </c>
      <c r="L66" s="26" t="str">
        <f>IF('E-Mixed'!A66&lt;'Adj-Mixed'!$B$10,'E-Mixed'!K66," ")</f>
        <v xml:space="preserve"> </v>
      </c>
      <c r="M66" s="30" t="str">
        <f>IF('E-Mixed'!A66&lt;'Adj-Mixed'!$B$10,'E-Mixed'!M66," ")</f>
        <v xml:space="preserve"> </v>
      </c>
      <c r="N66" t="str">
        <f>IF('E-Mixed'!A66&lt;'Adj-Mixed'!$B$10,1/L66," ")</f>
        <v xml:space="preserve"> </v>
      </c>
      <c r="O66" s="19"/>
      <c r="P66" t="str">
        <f t="shared" si="2"/>
        <v/>
      </c>
      <c r="Q66" t="str">
        <f t="shared" si="3"/>
        <v/>
      </c>
      <c r="R66" s="100" t="str">
        <f t="shared" si="1"/>
        <v/>
      </c>
    </row>
    <row r="67" spans="1:18" x14ac:dyDescent="0.25">
      <c r="A67" s="27" t="str">
        <f>IF('E-Mixed'!A67&lt;'Adj-Mixed'!$B$10,'E-Mixed'!B67," ")</f>
        <v xml:space="preserve"> </v>
      </c>
      <c r="B67" s="217" t="str">
        <f>IF('E-Mixed'!A67&lt;'Adj-Mixed'!$B$10,'E-Mixed'!A67," ")</f>
        <v xml:space="preserve"> </v>
      </c>
      <c r="C67" s="25" t="str">
        <f>IF('E-Mixed'!A67&lt;'Adj-Mixed'!$B$10,'E-Mixed'!C67," ")</f>
        <v xml:space="preserve"> </v>
      </c>
      <c r="D67" s="27" t="str">
        <f>IF('E-Mixed'!A67&lt;'Adj-Mixed'!$B$10,'E-Mixed'!G67," ")</f>
        <v xml:space="preserve"> </v>
      </c>
      <c r="E67" s="26" t="str">
        <f>IF('E-Mixed'!A67&lt;'Adj-Mixed'!$B$10,'E-Mixed'!D67," ")</f>
        <v xml:space="preserve"> </v>
      </c>
      <c r="F67" s="216"/>
      <c r="G67" s="216" t="str">
        <f t="shared" si="0"/>
        <v xml:space="preserve"> </v>
      </c>
      <c r="H67" s="27" t="str">
        <f>IF('E-Mixed'!A67&lt;'Adj-Mixed'!$B$10,'E-Mixed'!I67," ")</f>
        <v xml:space="preserve"> </v>
      </c>
      <c r="I67" s="217" t="str">
        <f>IF('E-Mixed'!A67&lt;'Adj-Mixed'!$B$10,'E-Mixed'!A67," ")</f>
        <v xml:space="preserve"> </v>
      </c>
      <c r="J67" s="25" t="str">
        <f>IF('E-Mixed'!A67&lt;'Adj-Mixed'!$B$10,'E-Mixed'!J67," ")</f>
        <v xml:space="preserve"> </v>
      </c>
      <c r="K67" s="27" t="str">
        <f>IF('E-Mixed'!A67&lt;'Adj-Mixed'!$B$10,'E-Mixed'!N67," ")</f>
        <v xml:space="preserve"> </v>
      </c>
      <c r="L67" s="26" t="str">
        <f>IF('E-Mixed'!A67&lt;'Adj-Mixed'!$B$10,'E-Mixed'!K67," ")</f>
        <v xml:space="preserve"> </v>
      </c>
      <c r="M67" s="30" t="str">
        <f>IF('E-Mixed'!A67&lt;'Adj-Mixed'!$B$10,'E-Mixed'!M67," ")</f>
        <v xml:space="preserve"> </v>
      </c>
      <c r="N67" t="str">
        <f>IF('E-Mixed'!A67&lt;'Adj-Mixed'!$B$10,1/L67," ")</f>
        <v xml:space="preserve"> </v>
      </c>
      <c r="O67" s="19"/>
      <c r="P67" t="str">
        <f t="shared" si="2"/>
        <v/>
      </c>
      <c r="Q67" t="str">
        <f t="shared" si="3"/>
        <v/>
      </c>
      <c r="R67" s="100" t="str">
        <f t="shared" si="1"/>
        <v/>
      </c>
    </row>
    <row r="68" spans="1:18" x14ac:dyDescent="0.25">
      <c r="A68" s="27" t="str">
        <f>IF('E-Mixed'!A68&lt;'Adj-Mixed'!$B$10,'E-Mixed'!B68," ")</f>
        <v xml:space="preserve"> </v>
      </c>
      <c r="B68" s="217" t="str">
        <f>IF('E-Mixed'!A68&lt;'Adj-Mixed'!$B$10,'E-Mixed'!A68," ")</f>
        <v xml:space="preserve"> </v>
      </c>
      <c r="C68" s="25" t="str">
        <f>IF('E-Mixed'!A68&lt;'Adj-Mixed'!$B$10,'E-Mixed'!C68," ")</f>
        <v xml:space="preserve"> </v>
      </c>
      <c r="D68" s="27" t="str">
        <f>IF('E-Mixed'!A68&lt;'Adj-Mixed'!$B$10,'E-Mixed'!G68," ")</f>
        <v xml:space="preserve"> </v>
      </c>
      <c r="E68" s="26" t="str">
        <f>IF('E-Mixed'!A68&lt;'Adj-Mixed'!$B$10,'E-Mixed'!D68," ")</f>
        <v xml:space="preserve"> </v>
      </c>
      <c r="F68" s="216"/>
      <c r="G68" s="216" t="str">
        <f t="shared" ref="G68:G131" si="4">IFERROR(I68,"")</f>
        <v xml:space="preserve"> </v>
      </c>
      <c r="H68" s="27" t="str">
        <f>IF('E-Mixed'!A68&lt;'Adj-Mixed'!$B$10,'E-Mixed'!I68," ")</f>
        <v xml:space="preserve"> </v>
      </c>
      <c r="I68" s="217" t="str">
        <f>IF('E-Mixed'!A68&lt;'Adj-Mixed'!$B$10,'E-Mixed'!A68," ")</f>
        <v xml:space="preserve"> </v>
      </c>
      <c r="J68" s="25" t="str">
        <f>IF('E-Mixed'!A68&lt;'Adj-Mixed'!$B$10,'E-Mixed'!J68," ")</f>
        <v xml:space="preserve"> </v>
      </c>
      <c r="K68" s="27" t="str">
        <f>IF('E-Mixed'!A68&lt;'Adj-Mixed'!$B$10,'E-Mixed'!N68," ")</f>
        <v xml:space="preserve"> </v>
      </c>
      <c r="L68" s="26" t="str">
        <f>IF('E-Mixed'!A68&lt;'Adj-Mixed'!$B$10,'E-Mixed'!K68," ")</f>
        <v xml:space="preserve"> </v>
      </c>
      <c r="M68" s="30" t="str">
        <f>IF('E-Mixed'!A68&lt;'Adj-Mixed'!$B$10,'E-Mixed'!M68," ")</f>
        <v xml:space="preserve"> </v>
      </c>
      <c r="N68" t="str">
        <f>IF('E-Mixed'!A68&lt;'Adj-Mixed'!$B$10,1/L68," ")</f>
        <v xml:space="preserve"> </v>
      </c>
      <c r="O68" s="19"/>
      <c r="P68" t="str">
        <f t="shared" si="2"/>
        <v/>
      </c>
      <c r="Q68" t="str">
        <f t="shared" si="3"/>
        <v/>
      </c>
      <c r="R68" s="100" t="str">
        <f t="shared" ref="R68:R131" si="5">IFERROR(IF(H68&lt;0,"",CONVERT(H68,"kg", "lbm")),"")</f>
        <v/>
      </c>
    </row>
    <row r="69" spans="1:18" x14ac:dyDescent="0.25">
      <c r="A69" s="27" t="str">
        <f>IF('E-Mixed'!A69&lt;'Adj-Mixed'!$B$10,'E-Mixed'!B69," ")</f>
        <v xml:space="preserve"> </v>
      </c>
      <c r="B69" s="217" t="str">
        <f>IF('E-Mixed'!A69&lt;'Adj-Mixed'!$B$10,'E-Mixed'!A69," ")</f>
        <v xml:space="preserve"> </v>
      </c>
      <c r="C69" s="25" t="str">
        <f>IF('E-Mixed'!A69&lt;'Adj-Mixed'!$B$10,'E-Mixed'!C69," ")</f>
        <v xml:space="preserve"> </v>
      </c>
      <c r="D69" s="27" t="str">
        <f>IF('E-Mixed'!A69&lt;'Adj-Mixed'!$B$10,'E-Mixed'!G69," ")</f>
        <v xml:space="preserve"> </v>
      </c>
      <c r="E69" s="26" t="str">
        <f>IF('E-Mixed'!A69&lt;'Adj-Mixed'!$B$10,'E-Mixed'!D69," ")</f>
        <v xml:space="preserve"> </v>
      </c>
      <c r="F69" s="216"/>
      <c r="G69" s="216" t="str">
        <f t="shared" si="4"/>
        <v xml:space="preserve"> </v>
      </c>
      <c r="H69" s="27" t="str">
        <f>IF('E-Mixed'!A69&lt;'Adj-Mixed'!$B$10,'E-Mixed'!I69," ")</f>
        <v xml:space="preserve"> </v>
      </c>
      <c r="I69" s="217" t="str">
        <f>IF('E-Mixed'!A69&lt;'Adj-Mixed'!$B$10,'E-Mixed'!A69," ")</f>
        <v xml:space="preserve"> </v>
      </c>
      <c r="J69" s="25" t="str">
        <f>IF('E-Mixed'!A69&lt;'Adj-Mixed'!$B$10,'E-Mixed'!J69," ")</f>
        <v xml:space="preserve"> </v>
      </c>
      <c r="K69" s="27" t="str">
        <f>IF('E-Mixed'!A69&lt;'Adj-Mixed'!$B$10,'E-Mixed'!N69," ")</f>
        <v xml:space="preserve"> </v>
      </c>
      <c r="L69" s="26" t="str">
        <f>IF('E-Mixed'!A69&lt;'Adj-Mixed'!$B$10,'E-Mixed'!K69," ")</f>
        <v xml:space="preserve"> </v>
      </c>
      <c r="M69" s="30" t="str">
        <f>IF('E-Mixed'!A69&lt;'Adj-Mixed'!$B$10,'E-Mixed'!M69," ")</f>
        <v xml:space="preserve"> </v>
      </c>
      <c r="N69" t="str">
        <f>IF('E-Mixed'!A69&lt;'Adj-Mixed'!$B$10,1/L69," ")</f>
        <v xml:space="preserve"> </v>
      </c>
      <c r="O69" s="19"/>
      <c r="P69" t="str">
        <f t="shared" ref="P69:P132" si="6">IFERROR(IF(J69&lt;0,"",CONVERT(J69,"g", "lbm")),"")</f>
        <v/>
      </c>
      <c r="Q69" t="str">
        <f t="shared" ref="Q69:Q132" si="7">IFERROR(IF(M69&lt;0,"",CONVERT(M69,"kg", "lbm")),"")</f>
        <v/>
      </c>
      <c r="R69" s="100" t="str">
        <f t="shared" si="5"/>
        <v/>
      </c>
    </row>
    <row r="70" spans="1:18" x14ac:dyDescent="0.25">
      <c r="A70" s="27" t="str">
        <f>IF('E-Mixed'!A70&lt;'Adj-Mixed'!$B$10,'E-Mixed'!B70," ")</f>
        <v xml:space="preserve"> </v>
      </c>
      <c r="B70" s="217" t="str">
        <f>IF('E-Mixed'!A70&lt;'Adj-Mixed'!$B$10,'E-Mixed'!A70," ")</f>
        <v xml:space="preserve"> </v>
      </c>
      <c r="C70" s="25" t="str">
        <f>IF('E-Mixed'!A70&lt;'Adj-Mixed'!$B$10,'E-Mixed'!C70," ")</f>
        <v xml:space="preserve"> </v>
      </c>
      <c r="D70" s="27" t="str">
        <f>IF('E-Mixed'!A70&lt;'Adj-Mixed'!$B$10,'E-Mixed'!G70," ")</f>
        <v xml:space="preserve"> </v>
      </c>
      <c r="E70" s="26" t="str">
        <f>IF('E-Mixed'!A70&lt;'Adj-Mixed'!$B$10,'E-Mixed'!D70," ")</f>
        <v xml:space="preserve"> </v>
      </c>
      <c r="F70" s="216"/>
      <c r="G70" s="216" t="str">
        <f t="shared" si="4"/>
        <v xml:space="preserve"> </v>
      </c>
      <c r="H70" s="27" t="str">
        <f>IF('E-Mixed'!A70&lt;'Adj-Mixed'!$B$10,'E-Mixed'!I70," ")</f>
        <v xml:space="preserve"> </v>
      </c>
      <c r="I70" s="217" t="str">
        <f>IF('E-Mixed'!A70&lt;'Adj-Mixed'!$B$10,'E-Mixed'!A70," ")</f>
        <v xml:space="preserve"> </v>
      </c>
      <c r="J70" s="25" t="str">
        <f>IF('E-Mixed'!A70&lt;'Adj-Mixed'!$B$10,'E-Mixed'!J70," ")</f>
        <v xml:space="preserve"> </v>
      </c>
      <c r="K70" s="27" t="str">
        <f>IF('E-Mixed'!A70&lt;'Adj-Mixed'!$B$10,'E-Mixed'!N70," ")</f>
        <v xml:space="preserve"> </v>
      </c>
      <c r="L70" s="26" t="str">
        <f>IF('E-Mixed'!A70&lt;'Adj-Mixed'!$B$10,'E-Mixed'!K70," ")</f>
        <v xml:space="preserve"> </v>
      </c>
      <c r="M70" s="30" t="str">
        <f>IF('E-Mixed'!A70&lt;'Adj-Mixed'!$B$10,'E-Mixed'!M70," ")</f>
        <v xml:space="preserve"> </v>
      </c>
      <c r="N70" t="str">
        <f>IF('E-Mixed'!A70&lt;'Adj-Mixed'!$B$10,1/L70," ")</f>
        <v xml:space="preserve"> </v>
      </c>
      <c r="O70" s="19"/>
      <c r="P70" t="str">
        <f t="shared" si="6"/>
        <v/>
      </c>
      <c r="Q70" t="str">
        <f t="shared" si="7"/>
        <v/>
      </c>
      <c r="R70" s="100" t="str">
        <f t="shared" si="5"/>
        <v/>
      </c>
    </row>
    <row r="71" spans="1:18" x14ac:dyDescent="0.25">
      <c r="A71" s="27" t="str">
        <f>IF('E-Mixed'!A71&lt;'Adj-Mixed'!$B$10,'E-Mixed'!B71," ")</f>
        <v xml:space="preserve"> </v>
      </c>
      <c r="B71" s="217" t="str">
        <f>IF('E-Mixed'!A71&lt;'Adj-Mixed'!$B$10,'E-Mixed'!A71," ")</f>
        <v xml:space="preserve"> </v>
      </c>
      <c r="C71" s="25" t="str">
        <f>IF('E-Mixed'!A71&lt;'Adj-Mixed'!$B$10,'E-Mixed'!C71," ")</f>
        <v xml:space="preserve"> </v>
      </c>
      <c r="D71" s="27" t="str">
        <f>IF('E-Mixed'!A71&lt;'Adj-Mixed'!$B$10,'E-Mixed'!G71," ")</f>
        <v xml:space="preserve"> </v>
      </c>
      <c r="E71" s="26" t="str">
        <f>IF('E-Mixed'!A71&lt;'Adj-Mixed'!$B$10,'E-Mixed'!D71," ")</f>
        <v xml:space="preserve"> </v>
      </c>
      <c r="F71" s="216"/>
      <c r="G71" s="216" t="str">
        <f t="shared" si="4"/>
        <v xml:space="preserve"> </v>
      </c>
      <c r="H71" s="27" t="str">
        <f>IF('E-Mixed'!A71&lt;'Adj-Mixed'!$B$10,'E-Mixed'!I71," ")</f>
        <v xml:space="preserve"> </v>
      </c>
      <c r="I71" s="217" t="str">
        <f>IF('E-Mixed'!A71&lt;'Adj-Mixed'!$B$10,'E-Mixed'!A71," ")</f>
        <v xml:space="preserve"> </v>
      </c>
      <c r="J71" s="25" t="str">
        <f>IF('E-Mixed'!A71&lt;'Adj-Mixed'!$B$10,'E-Mixed'!J71," ")</f>
        <v xml:space="preserve"> </v>
      </c>
      <c r="K71" s="27" t="str">
        <f>IF('E-Mixed'!A71&lt;'Adj-Mixed'!$B$10,'E-Mixed'!N71," ")</f>
        <v xml:space="preserve"> </v>
      </c>
      <c r="L71" s="26" t="str">
        <f>IF('E-Mixed'!A71&lt;'Adj-Mixed'!$B$10,'E-Mixed'!K71," ")</f>
        <v xml:space="preserve"> </v>
      </c>
      <c r="M71" s="30" t="str">
        <f>IF('E-Mixed'!A71&lt;'Adj-Mixed'!$B$10,'E-Mixed'!M71," ")</f>
        <v xml:space="preserve"> </v>
      </c>
      <c r="N71" t="str">
        <f>IF('E-Mixed'!A71&lt;'Adj-Mixed'!$B$10,1/L71," ")</f>
        <v xml:space="preserve"> </v>
      </c>
      <c r="O71" s="19"/>
      <c r="P71" t="str">
        <f t="shared" si="6"/>
        <v/>
      </c>
      <c r="Q71" t="str">
        <f t="shared" si="7"/>
        <v/>
      </c>
      <c r="R71" s="100" t="str">
        <f t="shared" si="5"/>
        <v/>
      </c>
    </row>
    <row r="72" spans="1:18" x14ac:dyDescent="0.25">
      <c r="A72" s="27" t="str">
        <f>IF('E-Mixed'!A72&lt;'Adj-Mixed'!$B$10,'E-Mixed'!B72," ")</f>
        <v xml:space="preserve"> </v>
      </c>
      <c r="B72" s="217" t="str">
        <f>IF('E-Mixed'!A72&lt;'Adj-Mixed'!$B$10,'E-Mixed'!A72," ")</f>
        <v xml:space="preserve"> </v>
      </c>
      <c r="C72" s="25" t="str">
        <f>IF('E-Mixed'!A72&lt;'Adj-Mixed'!$B$10,'E-Mixed'!C72," ")</f>
        <v xml:space="preserve"> </v>
      </c>
      <c r="D72" s="27" t="str">
        <f>IF('E-Mixed'!A72&lt;'Adj-Mixed'!$B$10,'E-Mixed'!G72," ")</f>
        <v xml:space="preserve"> </v>
      </c>
      <c r="E72" s="26" t="str">
        <f>IF('E-Mixed'!A72&lt;'Adj-Mixed'!$B$10,'E-Mixed'!D72," ")</f>
        <v xml:space="preserve"> </v>
      </c>
      <c r="F72" s="216"/>
      <c r="G72" s="216" t="str">
        <f t="shared" si="4"/>
        <v xml:space="preserve"> </v>
      </c>
      <c r="H72" s="27" t="str">
        <f>IF('E-Mixed'!A72&lt;'Adj-Mixed'!$B$10,'E-Mixed'!I72," ")</f>
        <v xml:space="preserve"> </v>
      </c>
      <c r="I72" s="217" t="str">
        <f>IF('E-Mixed'!A72&lt;'Adj-Mixed'!$B$10,'E-Mixed'!A72," ")</f>
        <v xml:space="preserve"> </v>
      </c>
      <c r="J72" s="25" t="str">
        <f>IF('E-Mixed'!A72&lt;'Adj-Mixed'!$B$10,'E-Mixed'!J72," ")</f>
        <v xml:space="preserve"> </v>
      </c>
      <c r="K72" s="27" t="str">
        <f>IF('E-Mixed'!A72&lt;'Adj-Mixed'!$B$10,'E-Mixed'!N72," ")</f>
        <v xml:space="preserve"> </v>
      </c>
      <c r="L72" s="26" t="str">
        <f>IF('E-Mixed'!A72&lt;'Adj-Mixed'!$B$10,'E-Mixed'!K72," ")</f>
        <v xml:space="preserve"> </v>
      </c>
      <c r="M72" s="30" t="str">
        <f>IF('E-Mixed'!A72&lt;'Adj-Mixed'!$B$10,'E-Mixed'!M72," ")</f>
        <v xml:space="preserve"> </v>
      </c>
      <c r="N72" t="str">
        <f>IF('E-Mixed'!A72&lt;'Adj-Mixed'!$B$10,1/L72," ")</f>
        <v xml:space="preserve"> </v>
      </c>
      <c r="O72" s="19"/>
      <c r="P72" t="str">
        <f t="shared" si="6"/>
        <v/>
      </c>
      <c r="Q72" t="str">
        <f t="shared" si="7"/>
        <v/>
      </c>
      <c r="R72" s="100" t="str">
        <f t="shared" si="5"/>
        <v/>
      </c>
    </row>
    <row r="73" spans="1:18" x14ac:dyDescent="0.25">
      <c r="A73" s="27" t="str">
        <f>IF('E-Mixed'!A73&lt;'Adj-Mixed'!$B$10,'E-Mixed'!B73," ")</f>
        <v xml:space="preserve"> </v>
      </c>
      <c r="B73" s="217" t="str">
        <f>IF('E-Mixed'!A73&lt;'Adj-Mixed'!$B$10,'E-Mixed'!A73," ")</f>
        <v xml:space="preserve"> </v>
      </c>
      <c r="C73" s="25" t="str">
        <f>IF('E-Mixed'!A73&lt;'Adj-Mixed'!$B$10,'E-Mixed'!C73," ")</f>
        <v xml:space="preserve"> </v>
      </c>
      <c r="D73" s="27" t="str">
        <f>IF('E-Mixed'!A73&lt;'Adj-Mixed'!$B$10,'E-Mixed'!G73," ")</f>
        <v xml:space="preserve"> </v>
      </c>
      <c r="E73" s="26" t="str">
        <f>IF('E-Mixed'!A73&lt;'Adj-Mixed'!$B$10,'E-Mixed'!D73," ")</f>
        <v xml:space="preserve"> </v>
      </c>
      <c r="F73" s="216"/>
      <c r="G73" s="216" t="str">
        <f t="shared" si="4"/>
        <v xml:space="preserve"> </v>
      </c>
      <c r="H73" s="27" t="str">
        <f>IF('E-Mixed'!A73&lt;'Adj-Mixed'!$B$10,'E-Mixed'!I73," ")</f>
        <v xml:space="preserve"> </v>
      </c>
      <c r="I73" s="217" t="str">
        <f>IF('E-Mixed'!A73&lt;'Adj-Mixed'!$B$10,'E-Mixed'!A73," ")</f>
        <v xml:space="preserve"> </v>
      </c>
      <c r="J73" s="25" t="str">
        <f>IF('E-Mixed'!A73&lt;'Adj-Mixed'!$B$10,'E-Mixed'!J73," ")</f>
        <v xml:space="preserve"> </v>
      </c>
      <c r="K73" s="27" t="str">
        <f>IF('E-Mixed'!A73&lt;'Adj-Mixed'!$B$10,'E-Mixed'!N73," ")</f>
        <v xml:space="preserve"> </v>
      </c>
      <c r="L73" s="26" t="str">
        <f>IF('E-Mixed'!A73&lt;'Adj-Mixed'!$B$10,'E-Mixed'!K73," ")</f>
        <v xml:space="preserve"> </v>
      </c>
      <c r="M73" s="30" t="str">
        <f>IF('E-Mixed'!A73&lt;'Adj-Mixed'!$B$10,'E-Mixed'!M73," ")</f>
        <v xml:space="preserve"> </v>
      </c>
      <c r="N73" t="str">
        <f>IF('E-Mixed'!A73&lt;'Adj-Mixed'!$B$10,1/L73," ")</f>
        <v xml:space="preserve"> </v>
      </c>
      <c r="O73" s="19"/>
      <c r="P73" t="str">
        <f t="shared" si="6"/>
        <v/>
      </c>
      <c r="Q73" t="str">
        <f t="shared" si="7"/>
        <v/>
      </c>
      <c r="R73" s="100" t="str">
        <f t="shared" si="5"/>
        <v/>
      </c>
    </row>
    <row r="74" spans="1:18" x14ac:dyDescent="0.25">
      <c r="A74" s="27" t="str">
        <f>IF('E-Mixed'!A74&lt;'Adj-Mixed'!$B$10,'E-Mixed'!B74," ")</f>
        <v xml:space="preserve"> </v>
      </c>
      <c r="B74" s="217" t="str">
        <f>IF('E-Mixed'!A74&lt;'Adj-Mixed'!$B$10,'E-Mixed'!A74," ")</f>
        <v xml:space="preserve"> </v>
      </c>
      <c r="C74" s="25" t="str">
        <f>IF('E-Mixed'!A74&lt;'Adj-Mixed'!$B$10,'E-Mixed'!C74," ")</f>
        <v xml:space="preserve"> </v>
      </c>
      <c r="D74" s="27" t="str">
        <f>IF('E-Mixed'!A74&lt;'Adj-Mixed'!$B$10,'E-Mixed'!G74," ")</f>
        <v xml:space="preserve"> </v>
      </c>
      <c r="E74" s="26" t="str">
        <f>IF('E-Mixed'!A74&lt;'Adj-Mixed'!$B$10,'E-Mixed'!D74," ")</f>
        <v xml:space="preserve"> </v>
      </c>
      <c r="F74" s="216"/>
      <c r="G74" s="216" t="str">
        <f t="shared" si="4"/>
        <v xml:space="preserve"> </v>
      </c>
      <c r="H74" s="27" t="str">
        <f>IF('E-Mixed'!A74&lt;'Adj-Mixed'!$B$10,'E-Mixed'!I74," ")</f>
        <v xml:space="preserve"> </v>
      </c>
      <c r="I74" s="217" t="str">
        <f>IF('E-Mixed'!A74&lt;'Adj-Mixed'!$B$10,'E-Mixed'!A74," ")</f>
        <v xml:space="preserve"> </v>
      </c>
      <c r="J74" s="25" t="str">
        <f>IF('E-Mixed'!A74&lt;'Adj-Mixed'!$B$10,'E-Mixed'!J74," ")</f>
        <v xml:space="preserve"> </v>
      </c>
      <c r="K74" s="27" t="str">
        <f>IF('E-Mixed'!A74&lt;'Adj-Mixed'!$B$10,'E-Mixed'!N74," ")</f>
        <v xml:space="preserve"> </v>
      </c>
      <c r="L74" s="26" t="str">
        <f>IF('E-Mixed'!A74&lt;'Adj-Mixed'!$B$10,'E-Mixed'!K74," ")</f>
        <v xml:space="preserve"> </v>
      </c>
      <c r="M74" s="30" t="str">
        <f>IF('E-Mixed'!A74&lt;'Adj-Mixed'!$B$10,'E-Mixed'!M74," ")</f>
        <v xml:space="preserve"> </v>
      </c>
      <c r="N74" t="str">
        <f>IF('E-Mixed'!A74&lt;'Adj-Mixed'!$B$10,1/L74," ")</f>
        <v xml:space="preserve"> </v>
      </c>
      <c r="O74" s="19"/>
      <c r="P74" t="str">
        <f t="shared" si="6"/>
        <v/>
      </c>
      <c r="Q74" t="str">
        <f t="shared" si="7"/>
        <v/>
      </c>
      <c r="R74" s="100" t="str">
        <f t="shared" si="5"/>
        <v/>
      </c>
    </row>
    <row r="75" spans="1:18" x14ac:dyDescent="0.25">
      <c r="A75" s="27" t="str">
        <f>IF('E-Mixed'!A75&lt;'Adj-Mixed'!$B$10,'E-Mixed'!B75," ")</f>
        <v xml:space="preserve"> </v>
      </c>
      <c r="B75" s="217" t="str">
        <f>IF('E-Mixed'!A75&lt;'Adj-Mixed'!$B$10,'E-Mixed'!A75," ")</f>
        <v xml:space="preserve"> </v>
      </c>
      <c r="C75" s="25" t="str">
        <f>IF('E-Mixed'!A75&lt;'Adj-Mixed'!$B$10,'E-Mixed'!C75," ")</f>
        <v xml:space="preserve"> </v>
      </c>
      <c r="D75" s="27" t="str">
        <f>IF('E-Mixed'!A75&lt;'Adj-Mixed'!$B$10,'E-Mixed'!G75," ")</f>
        <v xml:space="preserve"> </v>
      </c>
      <c r="E75" s="26" t="str">
        <f>IF('E-Mixed'!A75&lt;'Adj-Mixed'!$B$10,'E-Mixed'!D75," ")</f>
        <v xml:space="preserve"> </v>
      </c>
      <c r="F75" s="216"/>
      <c r="G75" s="216" t="str">
        <f t="shared" si="4"/>
        <v xml:space="preserve"> </v>
      </c>
      <c r="H75" s="27" t="str">
        <f>IF('E-Mixed'!A75&lt;'Adj-Mixed'!$B$10,'E-Mixed'!I75," ")</f>
        <v xml:space="preserve"> </v>
      </c>
      <c r="I75" s="217" t="str">
        <f>IF('E-Mixed'!A75&lt;'Adj-Mixed'!$B$10,'E-Mixed'!A75," ")</f>
        <v xml:space="preserve"> </v>
      </c>
      <c r="J75" s="25" t="str">
        <f>IF('E-Mixed'!A75&lt;'Adj-Mixed'!$B$10,'E-Mixed'!J75," ")</f>
        <v xml:space="preserve"> </v>
      </c>
      <c r="K75" s="27" t="str">
        <f>IF('E-Mixed'!A75&lt;'Adj-Mixed'!$B$10,'E-Mixed'!N75," ")</f>
        <v xml:space="preserve"> </v>
      </c>
      <c r="L75" s="26" t="str">
        <f>IF('E-Mixed'!A75&lt;'Adj-Mixed'!$B$10,'E-Mixed'!K75," ")</f>
        <v xml:space="preserve"> </v>
      </c>
      <c r="M75" s="30" t="str">
        <f>IF('E-Mixed'!A75&lt;'Adj-Mixed'!$B$10,'E-Mixed'!M75," ")</f>
        <v xml:space="preserve"> </v>
      </c>
      <c r="N75" t="str">
        <f>IF('E-Mixed'!A75&lt;'Adj-Mixed'!$B$10,1/L75," ")</f>
        <v xml:space="preserve"> </v>
      </c>
      <c r="O75" s="19"/>
      <c r="P75" t="str">
        <f t="shared" si="6"/>
        <v/>
      </c>
      <c r="Q75" t="str">
        <f t="shared" si="7"/>
        <v/>
      </c>
      <c r="R75" s="100" t="str">
        <f t="shared" si="5"/>
        <v/>
      </c>
    </row>
    <row r="76" spans="1:18" x14ac:dyDescent="0.25">
      <c r="A76" s="27" t="str">
        <f>IF('E-Mixed'!A76&lt;'Adj-Mixed'!$B$10,'E-Mixed'!B76," ")</f>
        <v xml:space="preserve"> </v>
      </c>
      <c r="B76" s="217" t="str">
        <f>IF('E-Mixed'!A76&lt;'Adj-Mixed'!$B$10,'E-Mixed'!A76," ")</f>
        <v xml:space="preserve"> </v>
      </c>
      <c r="C76" s="25" t="str">
        <f>IF('E-Mixed'!A76&lt;'Adj-Mixed'!$B$10,'E-Mixed'!C76," ")</f>
        <v xml:space="preserve"> </v>
      </c>
      <c r="D76" s="27" t="str">
        <f>IF('E-Mixed'!A76&lt;'Adj-Mixed'!$B$10,'E-Mixed'!G76," ")</f>
        <v xml:space="preserve"> </v>
      </c>
      <c r="E76" s="26" t="str">
        <f>IF('E-Mixed'!A76&lt;'Adj-Mixed'!$B$10,'E-Mixed'!D76," ")</f>
        <v xml:space="preserve"> </v>
      </c>
      <c r="F76" s="216"/>
      <c r="G76" s="216" t="str">
        <f t="shared" si="4"/>
        <v xml:space="preserve"> </v>
      </c>
      <c r="H76" s="27" t="str">
        <f>IF('E-Mixed'!A76&lt;'Adj-Mixed'!$B$10,'E-Mixed'!I76," ")</f>
        <v xml:space="preserve"> </v>
      </c>
      <c r="I76" s="217" t="str">
        <f>IF('E-Mixed'!A76&lt;'Adj-Mixed'!$B$10,'E-Mixed'!A76," ")</f>
        <v xml:space="preserve"> </v>
      </c>
      <c r="J76" s="25" t="str">
        <f>IF('E-Mixed'!A76&lt;'Adj-Mixed'!$B$10,'E-Mixed'!J76," ")</f>
        <v xml:space="preserve"> </v>
      </c>
      <c r="K76" s="27" t="str">
        <f>IF('E-Mixed'!A76&lt;'Adj-Mixed'!$B$10,'E-Mixed'!N76," ")</f>
        <v xml:space="preserve"> </v>
      </c>
      <c r="L76" s="26" t="str">
        <f>IF('E-Mixed'!A76&lt;'Adj-Mixed'!$B$10,'E-Mixed'!K76," ")</f>
        <v xml:space="preserve"> </v>
      </c>
      <c r="M76" s="30" t="str">
        <f>IF('E-Mixed'!A76&lt;'Adj-Mixed'!$B$10,'E-Mixed'!M76," ")</f>
        <v xml:space="preserve"> </v>
      </c>
      <c r="N76" t="str">
        <f>IF('E-Mixed'!A76&lt;'Adj-Mixed'!$B$10,1/L76," ")</f>
        <v xml:space="preserve"> </v>
      </c>
      <c r="O76" s="19"/>
      <c r="P76" t="str">
        <f t="shared" si="6"/>
        <v/>
      </c>
      <c r="Q76" t="str">
        <f t="shared" si="7"/>
        <v/>
      </c>
      <c r="R76" s="100" t="str">
        <f t="shared" si="5"/>
        <v/>
      </c>
    </row>
    <row r="77" spans="1:18" x14ac:dyDescent="0.25">
      <c r="A77" s="27" t="str">
        <f>IF('E-Mixed'!A77&lt;'Adj-Mixed'!$B$10,'E-Mixed'!B77," ")</f>
        <v xml:space="preserve"> </v>
      </c>
      <c r="B77" s="217" t="str">
        <f>IF('E-Mixed'!A77&lt;'Adj-Mixed'!$B$10,'E-Mixed'!A77," ")</f>
        <v xml:space="preserve"> </v>
      </c>
      <c r="C77" s="25" t="str">
        <f>IF('E-Mixed'!A77&lt;'Adj-Mixed'!$B$10,'E-Mixed'!C77," ")</f>
        <v xml:space="preserve"> </v>
      </c>
      <c r="D77" s="27" t="str">
        <f>IF('E-Mixed'!A77&lt;'Adj-Mixed'!$B$10,'E-Mixed'!G77," ")</f>
        <v xml:space="preserve"> </v>
      </c>
      <c r="E77" s="26" t="str">
        <f>IF('E-Mixed'!A77&lt;'Adj-Mixed'!$B$10,'E-Mixed'!D77," ")</f>
        <v xml:space="preserve"> </v>
      </c>
      <c r="F77" s="216"/>
      <c r="G77" s="216" t="str">
        <f t="shared" si="4"/>
        <v xml:space="preserve"> </v>
      </c>
      <c r="H77" s="27" t="str">
        <f>IF('E-Mixed'!A77&lt;'Adj-Mixed'!$B$10,'E-Mixed'!I77," ")</f>
        <v xml:space="preserve"> </v>
      </c>
      <c r="I77" s="217" t="str">
        <f>IF('E-Mixed'!A77&lt;'Adj-Mixed'!$B$10,'E-Mixed'!A77," ")</f>
        <v xml:space="preserve"> </v>
      </c>
      <c r="J77" s="25" t="str">
        <f>IF('E-Mixed'!A77&lt;'Adj-Mixed'!$B$10,'E-Mixed'!J77," ")</f>
        <v xml:space="preserve"> </v>
      </c>
      <c r="K77" s="27" t="str">
        <f>IF('E-Mixed'!A77&lt;'Adj-Mixed'!$B$10,'E-Mixed'!N77," ")</f>
        <v xml:space="preserve"> </v>
      </c>
      <c r="L77" s="26" t="str">
        <f>IF('E-Mixed'!A77&lt;'Adj-Mixed'!$B$10,'E-Mixed'!K77," ")</f>
        <v xml:space="preserve"> </v>
      </c>
      <c r="M77" s="30" t="str">
        <f>IF('E-Mixed'!A77&lt;'Adj-Mixed'!$B$10,'E-Mixed'!M77," ")</f>
        <v xml:space="preserve"> </v>
      </c>
      <c r="N77" t="str">
        <f>IF('E-Mixed'!A77&lt;'Adj-Mixed'!$B$10,1/L77," ")</f>
        <v xml:space="preserve"> </v>
      </c>
      <c r="O77" s="19"/>
      <c r="P77" t="str">
        <f t="shared" si="6"/>
        <v/>
      </c>
      <c r="Q77" t="str">
        <f t="shared" si="7"/>
        <v/>
      </c>
      <c r="R77" s="100" t="str">
        <f t="shared" si="5"/>
        <v/>
      </c>
    </row>
    <row r="78" spans="1:18" x14ac:dyDescent="0.25">
      <c r="A78" s="27" t="str">
        <f>IF('E-Mixed'!A78&lt;'Adj-Mixed'!$B$10,'E-Mixed'!B78," ")</f>
        <v xml:space="preserve"> </v>
      </c>
      <c r="B78" s="217" t="str">
        <f>IF('E-Mixed'!A78&lt;'Adj-Mixed'!$B$10,'E-Mixed'!A78," ")</f>
        <v xml:space="preserve"> </v>
      </c>
      <c r="C78" s="25" t="str">
        <f>IF('E-Mixed'!A78&lt;'Adj-Mixed'!$B$10,'E-Mixed'!C78," ")</f>
        <v xml:space="preserve"> </v>
      </c>
      <c r="D78" s="27" t="str">
        <f>IF('E-Mixed'!A78&lt;'Adj-Mixed'!$B$10,'E-Mixed'!G78," ")</f>
        <v xml:space="preserve"> </v>
      </c>
      <c r="E78" s="26" t="str">
        <f>IF('E-Mixed'!A78&lt;'Adj-Mixed'!$B$10,'E-Mixed'!D78," ")</f>
        <v xml:space="preserve"> </v>
      </c>
      <c r="F78" s="216"/>
      <c r="G78" s="216" t="str">
        <f t="shared" si="4"/>
        <v xml:space="preserve"> </v>
      </c>
      <c r="H78" s="27" t="str">
        <f>IF('E-Mixed'!A78&lt;'Adj-Mixed'!$B$10,'E-Mixed'!I78," ")</f>
        <v xml:space="preserve"> </v>
      </c>
      <c r="I78" s="217" t="str">
        <f>IF('E-Mixed'!A78&lt;'Adj-Mixed'!$B$10,'E-Mixed'!A78," ")</f>
        <v xml:space="preserve"> </v>
      </c>
      <c r="J78" s="25" t="str">
        <f>IF('E-Mixed'!A78&lt;'Adj-Mixed'!$B$10,'E-Mixed'!J78," ")</f>
        <v xml:space="preserve"> </v>
      </c>
      <c r="K78" s="27" t="str">
        <f>IF('E-Mixed'!A78&lt;'Adj-Mixed'!$B$10,'E-Mixed'!N78," ")</f>
        <v xml:space="preserve"> </v>
      </c>
      <c r="L78" s="26" t="str">
        <f>IF('E-Mixed'!A78&lt;'Adj-Mixed'!$B$10,'E-Mixed'!K78," ")</f>
        <v xml:space="preserve"> </v>
      </c>
      <c r="M78" s="30" t="str">
        <f>IF('E-Mixed'!A78&lt;'Adj-Mixed'!$B$10,'E-Mixed'!M78," ")</f>
        <v xml:space="preserve"> </v>
      </c>
      <c r="N78" t="str">
        <f>IF('E-Mixed'!A78&lt;'Adj-Mixed'!$B$10,1/L78," ")</f>
        <v xml:space="preserve"> </v>
      </c>
      <c r="O78" s="19"/>
      <c r="P78" t="str">
        <f t="shared" si="6"/>
        <v/>
      </c>
      <c r="Q78" t="str">
        <f t="shared" si="7"/>
        <v/>
      </c>
      <c r="R78" s="100" t="str">
        <f t="shared" si="5"/>
        <v/>
      </c>
    </row>
    <row r="79" spans="1:18" x14ac:dyDescent="0.25">
      <c r="A79" s="27" t="str">
        <f>IF('E-Mixed'!A79&lt;'Adj-Mixed'!$B$10,'E-Mixed'!B79," ")</f>
        <v xml:space="preserve"> </v>
      </c>
      <c r="B79" s="217" t="str">
        <f>IF('E-Mixed'!A79&lt;'Adj-Mixed'!$B$10,'E-Mixed'!A79," ")</f>
        <v xml:space="preserve"> </v>
      </c>
      <c r="C79" s="25" t="str">
        <f>IF('E-Mixed'!A79&lt;'Adj-Mixed'!$B$10,'E-Mixed'!C79," ")</f>
        <v xml:space="preserve"> </v>
      </c>
      <c r="D79" s="27" t="str">
        <f>IF('E-Mixed'!A79&lt;'Adj-Mixed'!$B$10,'E-Mixed'!G79," ")</f>
        <v xml:space="preserve"> </v>
      </c>
      <c r="E79" s="26" t="str">
        <f>IF('E-Mixed'!A79&lt;'Adj-Mixed'!$B$10,'E-Mixed'!D79," ")</f>
        <v xml:space="preserve"> </v>
      </c>
      <c r="F79" s="216"/>
      <c r="G79" s="216" t="str">
        <f t="shared" si="4"/>
        <v xml:space="preserve"> </v>
      </c>
      <c r="H79" s="27" t="str">
        <f>IF('E-Mixed'!A79&lt;'Adj-Mixed'!$B$10,'E-Mixed'!I79," ")</f>
        <v xml:space="preserve"> </v>
      </c>
      <c r="I79" s="217" t="str">
        <f>IF('E-Mixed'!A79&lt;'Adj-Mixed'!$B$10,'E-Mixed'!A79," ")</f>
        <v xml:space="preserve"> </v>
      </c>
      <c r="J79" s="25" t="str">
        <f>IF('E-Mixed'!A79&lt;'Adj-Mixed'!$B$10,'E-Mixed'!J79," ")</f>
        <v xml:space="preserve"> </v>
      </c>
      <c r="K79" s="27" t="str">
        <f>IF('E-Mixed'!A79&lt;'Adj-Mixed'!$B$10,'E-Mixed'!N79," ")</f>
        <v xml:space="preserve"> </v>
      </c>
      <c r="L79" s="26" t="str">
        <f>IF('E-Mixed'!A79&lt;'Adj-Mixed'!$B$10,'E-Mixed'!K79," ")</f>
        <v xml:space="preserve"> </v>
      </c>
      <c r="M79" s="30" t="str">
        <f>IF('E-Mixed'!A79&lt;'Adj-Mixed'!$B$10,'E-Mixed'!M79," ")</f>
        <v xml:space="preserve"> </v>
      </c>
      <c r="N79" t="str">
        <f>IF('E-Mixed'!A79&lt;'Adj-Mixed'!$B$10,1/L79," ")</f>
        <v xml:space="preserve"> </v>
      </c>
      <c r="O79" s="19"/>
      <c r="P79" t="str">
        <f t="shared" si="6"/>
        <v/>
      </c>
      <c r="Q79" t="str">
        <f t="shared" si="7"/>
        <v/>
      </c>
      <c r="R79" s="100" t="str">
        <f t="shared" si="5"/>
        <v/>
      </c>
    </row>
    <row r="80" spans="1:18" x14ac:dyDescent="0.25">
      <c r="A80" s="27" t="str">
        <f>IF('E-Mixed'!A80&lt;'Adj-Mixed'!$B$10,'E-Mixed'!B80," ")</f>
        <v xml:space="preserve"> </v>
      </c>
      <c r="B80" s="217" t="str">
        <f>IF('E-Mixed'!A80&lt;'Adj-Mixed'!$B$10,'E-Mixed'!A80," ")</f>
        <v xml:space="preserve"> </v>
      </c>
      <c r="C80" s="25" t="str">
        <f>IF('E-Mixed'!A80&lt;'Adj-Mixed'!$B$10,'E-Mixed'!C80," ")</f>
        <v xml:space="preserve"> </v>
      </c>
      <c r="D80" s="27" t="str">
        <f>IF('E-Mixed'!A80&lt;'Adj-Mixed'!$B$10,'E-Mixed'!G80," ")</f>
        <v xml:space="preserve"> </v>
      </c>
      <c r="E80" s="26" t="str">
        <f>IF('E-Mixed'!A80&lt;'Adj-Mixed'!$B$10,'E-Mixed'!D80," ")</f>
        <v xml:space="preserve"> </v>
      </c>
      <c r="F80" s="216"/>
      <c r="G80" s="216" t="str">
        <f t="shared" si="4"/>
        <v xml:space="preserve"> </v>
      </c>
      <c r="H80" s="27" t="str">
        <f>IF('E-Mixed'!A80&lt;'Adj-Mixed'!$B$10,'E-Mixed'!I80," ")</f>
        <v xml:space="preserve"> </v>
      </c>
      <c r="I80" s="217" t="str">
        <f>IF('E-Mixed'!A80&lt;'Adj-Mixed'!$B$10,'E-Mixed'!A80," ")</f>
        <v xml:space="preserve"> </v>
      </c>
      <c r="J80" s="25" t="str">
        <f>IF('E-Mixed'!A80&lt;'Adj-Mixed'!$B$10,'E-Mixed'!J80," ")</f>
        <v xml:space="preserve"> </v>
      </c>
      <c r="K80" s="27" t="str">
        <f>IF('E-Mixed'!A80&lt;'Adj-Mixed'!$B$10,'E-Mixed'!N80," ")</f>
        <v xml:space="preserve"> </v>
      </c>
      <c r="L80" s="26" t="str">
        <f>IF('E-Mixed'!A80&lt;'Adj-Mixed'!$B$10,'E-Mixed'!K80," ")</f>
        <v xml:space="preserve"> </v>
      </c>
      <c r="M80" s="30" t="str">
        <f>IF('E-Mixed'!A80&lt;'Adj-Mixed'!$B$10,'E-Mixed'!M80," ")</f>
        <v xml:space="preserve"> </v>
      </c>
      <c r="N80" t="str">
        <f>IF('E-Mixed'!A80&lt;'Adj-Mixed'!$B$10,1/L80," ")</f>
        <v xml:space="preserve"> </v>
      </c>
      <c r="O80" s="19"/>
      <c r="P80" t="str">
        <f t="shared" si="6"/>
        <v/>
      </c>
      <c r="Q80" t="str">
        <f t="shared" si="7"/>
        <v/>
      </c>
      <c r="R80" s="100" t="str">
        <f t="shared" si="5"/>
        <v/>
      </c>
    </row>
    <row r="81" spans="1:18" x14ac:dyDescent="0.25">
      <c r="A81" s="27" t="str">
        <f>IF('E-Mixed'!A81&lt;'Adj-Mixed'!$B$10,'E-Mixed'!B81," ")</f>
        <v xml:space="preserve"> </v>
      </c>
      <c r="B81" s="217" t="str">
        <f>IF('E-Mixed'!A81&lt;'Adj-Mixed'!$B$10,'E-Mixed'!A81," ")</f>
        <v xml:space="preserve"> </v>
      </c>
      <c r="C81" s="25" t="str">
        <f>IF('E-Mixed'!A81&lt;'Adj-Mixed'!$B$10,'E-Mixed'!C81," ")</f>
        <v xml:space="preserve"> </v>
      </c>
      <c r="D81" s="27" t="str">
        <f>IF('E-Mixed'!A81&lt;'Adj-Mixed'!$B$10,'E-Mixed'!G81," ")</f>
        <v xml:space="preserve"> </v>
      </c>
      <c r="E81" s="26" t="str">
        <f>IF('E-Mixed'!A81&lt;'Adj-Mixed'!$B$10,'E-Mixed'!D81," ")</f>
        <v xml:space="preserve"> </v>
      </c>
      <c r="F81" s="216"/>
      <c r="G81" s="216" t="str">
        <f t="shared" si="4"/>
        <v xml:space="preserve"> </v>
      </c>
      <c r="H81" s="27" t="str">
        <f>IF('E-Mixed'!A81&lt;'Adj-Mixed'!$B$10,'E-Mixed'!I81," ")</f>
        <v xml:space="preserve"> </v>
      </c>
      <c r="I81" s="217" t="str">
        <f>IF('E-Mixed'!A81&lt;'Adj-Mixed'!$B$10,'E-Mixed'!A81," ")</f>
        <v xml:space="preserve"> </v>
      </c>
      <c r="J81" s="25" t="str">
        <f>IF('E-Mixed'!A81&lt;'Adj-Mixed'!$B$10,'E-Mixed'!J81," ")</f>
        <v xml:space="preserve"> </v>
      </c>
      <c r="K81" s="27" t="str">
        <f>IF('E-Mixed'!A81&lt;'Adj-Mixed'!$B$10,'E-Mixed'!N81," ")</f>
        <v xml:space="preserve"> </v>
      </c>
      <c r="L81" s="26" t="str">
        <f>IF('E-Mixed'!A81&lt;'Adj-Mixed'!$B$10,'E-Mixed'!K81," ")</f>
        <v xml:space="preserve"> </v>
      </c>
      <c r="M81" s="30" t="str">
        <f>IF('E-Mixed'!A81&lt;'Adj-Mixed'!$B$10,'E-Mixed'!M81," ")</f>
        <v xml:space="preserve"> </v>
      </c>
      <c r="N81" t="str">
        <f>IF('E-Mixed'!A81&lt;'Adj-Mixed'!$B$10,1/L81," ")</f>
        <v xml:space="preserve"> </v>
      </c>
      <c r="O81" s="19"/>
      <c r="P81" t="str">
        <f t="shared" si="6"/>
        <v/>
      </c>
      <c r="Q81" t="str">
        <f t="shared" si="7"/>
        <v/>
      </c>
      <c r="R81" s="100" t="str">
        <f t="shared" si="5"/>
        <v/>
      </c>
    </row>
    <row r="82" spans="1:18" x14ac:dyDescent="0.25">
      <c r="A82" s="27" t="str">
        <f>IF('E-Mixed'!A82&lt;'Adj-Mixed'!$B$10,'E-Mixed'!B82," ")</f>
        <v xml:space="preserve"> </v>
      </c>
      <c r="B82" s="217" t="str">
        <f>IF('E-Mixed'!A82&lt;'Adj-Mixed'!$B$10,'E-Mixed'!A82," ")</f>
        <v xml:space="preserve"> </v>
      </c>
      <c r="C82" s="25" t="str">
        <f>IF('E-Mixed'!A82&lt;'Adj-Mixed'!$B$10,'E-Mixed'!C82," ")</f>
        <v xml:space="preserve"> </v>
      </c>
      <c r="D82" s="27" t="str">
        <f>IF('E-Mixed'!A82&lt;'Adj-Mixed'!$B$10,'E-Mixed'!G82," ")</f>
        <v xml:space="preserve"> </v>
      </c>
      <c r="E82" s="26" t="str">
        <f>IF('E-Mixed'!A82&lt;'Adj-Mixed'!$B$10,'E-Mixed'!D82," ")</f>
        <v xml:space="preserve"> </v>
      </c>
      <c r="F82" s="216"/>
      <c r="G82" s="216" t="str">
        <f t="shared" si="4"/>
        <v xml:space="preserve"> </v>
      </c>
      <c r="H82" s="27" t="str">
        <f>IF('E-Mixed'!A82&lt;'Adj-Mixed'!$B$10,'E-Mixed'!I82," ")</f>
        <v xml:space="preserve"> </v>
      </c>
      <c r="I82" s="217" t="str">
        <f>IF('E-Mixed'!A82&lt;'Adj-Mixed'!$B$10,'E-Mixed'!A82," ")</f>
        <v xml:space="preserve"> </v>
      </c>
      <c r="J82" s="25" t="str">
        <f>IF('E-Mixed'!A82&lt;'Adj-Mixed'!$B$10,'E-Mixed'!J82," ")</f>
        <v xml:space="preserve"> </v>
      </c>
      <c r="K82" s="27" t="str">
        <f>IF('E-Mixed'!A82&lt;'Adj-Mixed'!$B$10,'E-Mixed'!N82," ")</f>
        <v xml:space="preserve"> </v>
      </c>
      <c r="L82" s="26" t="str">
        <f>IF('E-Mixed'!A82&lt;'Adj-Mixed'!$B$10,'E-Mixed'!K82," ")</f>
        <v xml:space="preserve"> </v>
      </c>
      <c r="M82" s="30" t="str">
        <f>IF('E-Mixed'!A82&lt;'Adj-Mixed'!$B$10,'E-Mixed'!M82," ")</f>
        <v xml:space="preserve"> </v>
      </c>
      <c r="N82" t="str">
        <f>IF('E-Mixed'!A82&lt;'Adj-Mixed'!$B$10,1/L82," ")</f>
        <v xml:space="preserve"> </v>
      </c>
      <c r="O82" s="19"/>
      <c r="P82" t="str">
        <f t="shared" si="6"/>
        <v/>
      </c>
      <c r="Q82" t="str">
        <f t="shared" si="7"/>
        <v/>
      </c>
      <c r="R82" s="100" t="str">
        <f t="shared" si="5"/>
        <v/>
      </c>
    </row>
    <row r="83" spans="1:18" x14ac:dyDescent="0.25">
      <c r="A83" s="27" t="str">
        <f>IF('E-Mixed'!A83&lt;'Adj-Mixed'!$B$10,'E-Mixed'!B83," ")</f>
        <v xml:space="preserve"> </v>
      </c>
      <c r="B83" s="217" t="str">
        <f>IF('E-Mixed'!A83&lt;'Adj-Mixed'!$B$10,'E-Mixed'!A83," ")</f>
        <v xml:space="preserve"> </v>
      </c>
      <c r="C83" s="25" t="str">
        <f>IF('E-Mixed'!A83&lt;'Adj-Mixed'!$B$10,'E-Mixed'!C83," ")</f>
        <v xml:space="preserve"> </v>
      </c>
      <c r="D83" s="27" t="str">
        <f>IF('E-Mixed'!A83&lt;'Adj-Mixed'!$B$10,'E-Mixed'!G83," ")</f>
        <v xml:space="preserve"> </v>
      </c>
      <c r="E83" s="26" t="str">
        <f>IF('E-Mixed'!A83&lt;'Adj-Mixed'!$B$10,'E-Mixed'!D83," ")</f>
        <v xml:space="preserve"> </v>
      </c>
      <c r="F83" s="216"/>
      <c r="G83" s="216" t="str">
        <f t="shared" si="4"/>
        <v xml:space="preserve"> </v>
      </c>
      <c r="H83" s="27" t="str">
        <f>IF('E-Mixed'!A83&lt;'Adj-Mixed'!$B$10,'E-Mixed'!I83," ")</f>
        <v xml:space="preserve"> </v>
      </c>
      <c r="I83" s="217" t="str">
        <f>IF('E-Mixed'!A83&lt;'Adj-Mixed'!$B$10,'E-Mixed'!A83," ")</f>
        <v xml:space="preserve"> </v>
      </c>
      <c r="J83" s="25" t="str">
        <f>IF('E-Mixed'!A83&lt;'Adj-Mixed'!$B$10,'E-Mixed'!J83," ")</f>
        <v xml:space="preserve"> </v>
      </c>
      <c r="K83" s="27" t="str">
        <f>IF('E-Mixed'!A83&lt;'Adj-Mixed'!$B$10,'E-Mixed'!N83," ")</f>
        <v xml:space="preserve"> </v>
      </c>
      <c r="L83" s="26" t="str">
        <f>IF('E-Mixed'!A83&lt;'Adj-Mixed'!$B$10,'E-Mixed'!K83," ")</f>
        <v xml:space="preserve"> </v>
      </c>
      <c r="M83" s="30" t="str">
        <f>IF('E-Mixed'!A83&lt;'Adj-Mixed'!$B$10,'E-Mixed'!M83," ")</f>
        <v xml:space="preserve"> </v>
      </c>
      <c r="N83" t="str">
        <f>IF('E-Mixed'!A83&lt;'Adj-Mixed'!$B$10,1/L83," ")</f>
        <v xml:space="preserve"> </v>
      </c>
      <c r="O83" s="19"/>
      <c r="P83" t="str">
        <f t="shared" si="6"/>
        <v/>
      </c>
      <c r="Q83" t="str">
        <f t="shared" si="7"/>
        <v/>
      </c>
      <c r="R83" s="100" t="str">
        <f t="shared" si="5"/>
        <v/>
      </c>
    </row>
    <row r="84" spans="1:18" x14ac:dyDescent="0.25">
      <c r="A84" s="27" t="str">
        <f>IF('E-Mixed'!A84&lt;'Adj-Mixed'!$B$10,'E-Mixed'!B84," ")</f>
        <v xml:space="preserve"> </v>
      </c>
      <c r="B84" s="217" t="str">
        <f>IF('E-Mixed'!A84&lt;'Adj-Mixed'!$B$10,'E-Mixed'!A84," ")</f>
        <v xml:space="preserve"> </v>
      </c>
      <c r="C84" s="25" t="str">
        <f>IF('E-Mixed'!A84&lt;'Adj-Mixed'!$B$10,'E-Mixed'!C84," ")</f>
        <v xml:space="preserve"> </v>
      </c>
      <c r="D84" s="27" t="str">
        <f>IF('E-Mixed'!A84&lt;'Adj-Mixed'!$B$10,'E-Mixed'!G84," ")</f>
        <v xml:space="preserve"> </v>
      </c>
      <c r="E84" s="26" t="str">
        <f>IF('E-Mixed'!A84&lt;'Adj-Mixed'!$B$10,'E-Mixed'!D84," ")</f>
        <v xml:space="preserve"> </v>
      </c>
      <c r="F84" s="216"/>
      <c r="G84" s="216" t="str">
        <f t="shared" si="4"/>
        <v xml:space="preserve"> </v>
      </c>
      <c r="H84" s="27" t="str">
        <f>IF('E-Mixed'!A84&lt;'Adj-Mixed'!$B$10,'E-Mixed'!I84," ")</f>
        <v xml:space="preserve"> </v>
      </c>
      <c r="I84" s="217" t="str">
        <f>IF('E-Mixed'!A84&lt;'Adj-Mixed'!$B$10,'E-Mixed'!A84," ")</f>
        <v xml:space="preserve"> </v>
      </c>
      <c r="J84" s="25" t="str">
        <f>IF('E-Mixed'!A84&lt;'Adj-Mixed'!$B$10,'E-Mixed'!J84," ")</f>
        <v xml:space="preserve"> </v>
      </c>
      <c r="K84" s="27" t="str">
        <f>IF('E-Mixed'!A84&lt;'Adj-Mixed'!$B$10,'E-Mixed'!N84," ")</f>
        <v xml:space="preserve"> </v>
      </c>
      <c r="L84" s="26" t="str">
        <f>IF('E-Mixed'!A84&lt;'Adj-Mixed'!$B$10,'E-Mixed'!K84," ")</f>
        <v xml:space="preserve"> </v>
      </c>
      <c r="M84" s="30" t="str">
        <f>IF('E-Mixed'!A84&lt;'Adj-Mixed'!$B$10,'E-Mixed'!M84," ")</f>
        <v xml:space="preserve"> </v>
      </c>
      <c r="N84" t="str">
        <f>IF('E-Mixed'!A84&lt;'Adj-Mixed'!$B$10,1/L84," ")</f>
        <v xml:space="preserve"> </v>
      </c>
      <c r="O84" s="19"/>
      <c r="P84" t="str">
        <f t="shared" si="6"/>
        <v/>
      </c>
      <c r="Q84" t="str">
        <f t="shared" si="7"/>
        <v/>
      </c>
      <c r="R84" s="100" t="str">
        <f t="shared" si="5"/>
        <v/>
      </c>
    </row>
    <row r="85" spans="1:18" x14ac:dyDescent="0.25">
      <c r="A85" s="27" t="str">
        <f>IF('E-Mixed'!A85&lt;'Adj-Mixed'!$B$10,'E-Mixed'!B85," ")</f>
        <v xml:space="preserve"> </v>
      </c>
      <c r="B85" s="217" t="str">
        <f>IF('E-Mixed'!A85&lt;'Adj-Mixed'!$B$10,'E-Mixed'!A85," ")</f>
        <v xml:space="preserve"> </v>
      </c>
      <c r="C85" s="25" t="str">
        <f>IF('E-Mixed'!A85&lt;'Adj-Mixed'!$B$10,'E-Mixed'!C85," ")</f>
        <v xml:space="preserve"> </v>
      </c>
      <c r="D85" s="27" t="str">
        <f>IF('E-Mixed'!A85&lt;'Adj-Mixed'!$B$10,'E-Mixed'!G85," ")</f>
        <v xml:space="preserve"> </v>
      </c>
      <c r="E85" s="26" t="str">
        <f>IF('E-Mixed'!A85&lt;'Adj-Mixed'!$B$10,'E-Mixed'!D85," ")</f>
        <v xml:space="preserve"> </v>
      </c>
      <c r="F85" s="216"/>
      <c r="G85" s="216" t="str">
        <f t="shared" si="4"/>
        <v xml:space="preserve"> </v>
      </c>
      <c r="H85" s="27" t="str">
        <f>IF('E-Mixed'!A85&lt;'Adj-Mixed'!$B$10,'E-Mixed'!I85," ")</f>
        <v xml:space="preserve"> </v>
      </c>
      <c r="I85" s="217" t="str">
        <f>IF('E-Mixed'!A85&lt;'Adj-Mixed'!$B$10,'E-Mixed'!A85," ")</f>
        <v xml:space="preserve"> </v>
      </c>
      <c r="J85" s="25" t="str">
        <f>IF('E-Mixed'!A85&lt;'Adj-Mixed'!$B$10,'E-Mixed'!J85," ")</f>
        <v xml:space="preserve"> </v>
      </c>
      <c r="K85" s="27" t="str">
        <f>IF('E-Mixed'!A85&lt;'Adj-Mixed'!$B$10,'E-Mixed'!N85," ")</f>
        <v xml:space="preserve"> </v>
      </c>
      <c r="L85" s="26" t="str">
        <f>IF('E-Mixed'!A85&lt;'Adj-Mixed'!$B$10,'E-Mixed'!K85," ")</f>
        <v xml:space="preserve"> </v>
      </c>
      <c r="M85" s="30" t="str">
        <f>IF('E-Mixed'!A85&lt;'Adj-Mixed'!$B$10,'E-Mixed'!M85," ")</f>
        <v xml:space="preserve"> </v>
      </c>
      <c r="N85" t="str">
        <f>IF('E-Mixed'!A85&lt;'Adj-Mixed'!$B$10,1/L85," ")</f>
        <v xml:space="preserve"> </v>
      </c>
      <c r="O85" s="19"/>
      <c r="P85" t="str">
        <f t="shared" si="6"/>
        <v/>
      </c>
      <c r="Q85" t="str">
        <f t="shared" si="7"/>
        <v/>
      </c>
      <c r="R85" s="100" t="str">
        <f t="shared" si="5"/>
        <v/>
      </c>
    </row>
    <row r="86" spans="1:18" x14ac:dyDescent="0.25">
      <c r="A86" s="27" t="str">
        <f>IF('E-Mixed'!A86&lt;'Adj-Mixed'!$B$10,'E-Mixed'!B86," ")</f>
        <v xml:space="preserve"> </v>
      </c>
      <c r="B86" s="217" t="str">
        <f>IF('E-Mixed'!A86&lt;'Adj-Mixed'!$B$10,'E-Mixed'!A86," ")</f>
        <v xml:space="preserve"> </v>
      </c>
      <c r="C86" s="25" t="str">
        <f>IF('E-Mixed'!A86&lt;'Adj-Mixed'!$B$10,'E-Mixed'!C86," ")</f>
        <v xml:space="preserve"> </v>
      </c>
      <c r="D86" s="27" t="str">
        <f>IF('E-Mixed'!A86&lt;'Adj-Mixed'!$B$10,'E-Mixed'!G86," ")</f>
        <v xml:space="preserve"> </v>
      </c>
      <c r="E86" s="26" t="str">
        <f>IF('E-Mixed'!A86&lt;'Adj-Mixed'!$B$10,'E-Mixed'!D86," ")</f>
        <v xml:space="preserve"> </v>
      </c>
      <c r="F86" s="216"/>
      <c r="G86" s="216" t="str">
        <f t="shared" si="4"/>
        <v xml:space="preserve"> </v>
      </c>
      <c r="H86" s="27" t="str">
        <f>IF('E-Mixed'!A86&lt;'Adj-Mixed'!$B$10,'E-Mixed'!I86," ")</f>
        <v xml:space="preserve"> </v>
      </c>
      <c r="I86" s="217" t="str">
        <f>IF('E-Mixed'!A86&lt;'Adj-Mixed'!$B$10,'E-Mixed'!A86," ")</f>
        <v xml:space="preserve"> </v>
      </c>
      <c r="J86" s="25" t="str">
        <f>IF('E-Mixed'!A86&lt;'Adj-Mixed'!$B$10,'E-Mixed'!J86," ")</f>
        <v xml:space="preserve"> </v>
      </c>
      <c r="K86" s="27" t="str">
        <f>IF('E-Mixed'!A86&lt;'Adj-Mixed'!$B$10,'E-Mixed'!N86," ")</f>
        <v xml:space="preserve"> </v>
      </c>
      <c r="L86" s="26" t="str">
        <f>IF('E-Mixed'!A86&lt;'Adj-Mixed'!$B$10,'E-Mixed'!K86," ")</f>
        <v xml:space="preserve"> </v>
      </c>
      <c r="M86" s="30" t="str">
        <f>IF('E-Mixed'!A86&lt;'Adj-Mixed'!$B$10,'E-Mixed'!M86," ")</f>
        <v xml:space="preserve"> </v>
      </c>
      <c r="N86" t="str">
        <f>IF('E-Mixed'!A86&lt;'Adj-Mixed'!$B$10,1/L86," ")</f>
        <v xml:space="preserve"> </v>
      </c>
      <c r="O86" s="19"/>
      <c r="P86" t="str">
        <f t="shared" si="6"/>
        <v/>
      </c>
      <c r="Q86" t="str">
        <f t="shared" si="7"/>
        <v/>
      </c>
      <c r="R86" s="100" t="str">
        <f t="shared" si="5"/>
        <v/>
      </c>
    </row>
    <row r="87" spans="1:18" x14ac:dyDescent="0.25">
      <c r="A87" s="27" t="str">
        <f>IF('E-Mixed'!A87&lt;'Adj-Mixed'!$B$10,'E-Mixed'!B87," ")</f>
        <v xml:space="preserve"> </v>
      </c>
      <c r="B87" s="217" t="str">
        <f>IF('E-Mixed'!A87&lt;'Adj-Mixed'!$B$10,'E-Mixed'!A87," ")</f>
        <v xml:space="preserve"> </v>
      </c>
      <c r="C87" s="25" t="str">
        <f>IF('E-Mixed'!A87&lt;'Adj-Mixed'!$B$10,'E-Mixed'!C87," ")</f>
        <v xml:space="preserve"> </v>
      </c>
      <c r="D87" s="27" t="str">
        <f>IF('E-Mixed'!A87&lt;'Adj-Mixed'!$B$10,'E-Mixed'!G87," ")</f>
        <v xml:space="preserve"> </v>
      </c>
      <c r="E87" s="26" t="str">
        <f>IF('E-Mixed'!A87&lt;'Adj-Mixed'!$B$10,'E-Mixed'!D87," ")</f>
        <v xml:space="preserve"> </v>
      </c>
      <c r="F87" s="216"/>
      <c r="G87" s="216" t="str">
        <f t="shared" si="4"/>
        <v xml:space="preserve"> </v>
      </c>
      <c r="H87" s="27" t="str">
        <f>IF('E-Mixed'!A87&lt;'Adj-Mixed'!$B$10,'E-Mixed'!I87," ")</f>
        <v xml:space="preserve"> </v>
      </c>
      <c r="I87" s="217" t="str">
        <f>IF('E-Mixed'!A87&lt;'Adj-Mixed'!$B$10,'E-Mixed'!A87," ")</f>
        <v xml:space="preserve"> </v>
      </c>
      <c r="J87" s="25" t="str">
        <f>IF('E-Mixed'!A87&lt;'Adj-Mixed'!$B$10,'E-Mixed'!J87," ")</f>
        <v xml:space="preserve"> </v>
      </c>
      <c r="K87" s="27" t="str">
        <f>IF('E-Mixed'!A87&lt;'Adj-Mixed'!$B$10,'E-Mixed'!N87," ")</f>
        <v xml:space="preserve"> </v>
      </c>
      <c r="L87" s="26" t="str">
        <f>IF('E-Mixed'!A87&lt;'Adj-Mixed'!$B$10,'E-Mixed'!K87," ")</f>
        <v xml:space="preserve"> </v>
      </c>
      <c r="M87" s="30" t="str">
        <f>IF('E-Mixed'!A87&lt;'Adj-Mixed'!$B$10,'E-Mixed'!M87," ")</f>
        <v xml:space="preserve"> </v>
      </c>
      <c r="N87" t="str">
        <f>IF('E-Mixed'!A87&lt;'Adj-Mixed'!$B$10,1/L87," ")</f>
        <v xml:space="preserve"> </v>
      </c>
      <c r="O87" s="19"/>
      <c r="P87" t="str">
        <f t="shared" si="6"/>
        <v/>
      </c>
      <c r="Q87" t="str">
        <f t="shared" si="7"/>
        <v/>
      </c>
      <c r="R87" s="100" t="str">
        <f t="shared" si="5"/>
        <v/>
      </c>
    </row>
    <row r="88" spans="1:18" x14ac:dyDescent="0.25">
      <c r="A88" s="27" t="str">
        <f>IF('E-Mixed'!A88&lt;'Adj-Mixed'!$B$10,'E-Mixed'!B88," ")</f>
        <v xml:space="preserve"> </v>
      </c>
      <c r="B88" s="217" t="str">
        <f>IF('E-Mixed'!A88&lt;'Adj-Mixed'!$B$10,'E-Mixed'!A88," ")</f>
        <v xml:space="preserve"> </v>
      </c>
      <c r="C88" s="25" t="str">
        <f>IF('E-Mixed'!A88&lt;'Adj-Mixed'!$B$10,'E-Mixed'!C88," ")</f>
        <v xml:space="preserve"> </v>
      </c>
      <c r="D88" s="27" t="str">
        <f>IF('E-Mixed'!A88&lt;'Adj-Mixed'!$B$10,'E-Mixed'!G88," ")</f>
        <v xml:space="preserve"> </v>
      </c>
      <c r="E88" s="26" t="str">
        <f>IF('E-Mixed'!A88&lt;'Adj-Mixed'!$B$10,'E-Mixed'!D88," ")</f>
        <v xml:space="preserve"> </v>
      </c>
      <c r="F88" s="216"/>
      <c r="G88" s="216" t="str">
        <f t="shared" si="4"/>
        <v xml:space="preserve"> </v>
      </c>
      <c r="H88" s="27" t="str">
        <f>IF('E-Mixed'!A88&lt;'Adj-Mixed'!$B$10,'E-Mixed'!I88," ")</f>
        <v xml:space="preserve"> </v>
      </c>
      <c r="I88" s="217" t="str">
        <f>IF('E-Mixed'!A88&lt;'Adj-Mixed'!$B$10,'E-Mixed'!A88," ")</f>
        <v xml:space="preserve"> </v>
      </c>
      <c r="J88" s="25" t="str">
        <f>IF('E-Mixed'!A88&lt;'Adj-Mixed'!$B$10,'E-Mixed'!J88," ")</f>
        <v xml:space="preserve"> </v>
      </c>
      <c r="K88" s="27" t="str">
        <f>IF('E-Mixed'!A88&lt;'Adj-Mixed'!$B$10,'E-Mixed'!N88," ")</f>
        <v xml:space="preserve"> </v>
      </c>
      <c r="L88" s="26" t="str">
        <f>IF('E-Mixed'!A88&lt;'Adj-Mixed'!$B$10,'E-Mixed'!K88," ")</f>
        <v xml:space="preserve"> </v>
      </c>
      <c r="M88" s="30" t="str">
        <f>IF('E-Mixed'!A88&lt;'Adj-Mixed'!$B$10,'E-Mixed'!M88," ")</f>
        <v xml:space="preserve"> </v>
      </c>
      <c r="N88" t="str">
        <f>IF('E-Mixed'!A88&lt;'Adj-Mixed'!$B$10,1/L88," ")</f>
        <v xml:space="preserve"> </v>
      </c>
      <c r="O88" s="19"/>
      <c r="P88" t="str">
        <f t="shared" si="6"/>
        <v/>
      </c>
      <c r="Q88" t="str">
        <f t="shared" si="7"/>
        <v/>
      </c>
      <c r="R88" s="100" t="str">
        <f t="shared" si="5"/>
        <v/>
      </c>
    </row>
    <row r="89" spans="1:18" x14ac:dyDescent="0.25">
      <c r="A89" s="27" t="str">
        <f>IF('E-Mixed'!A89&lt;'Adj-Mixed'!$B$10,'E-Mixed'!B89," ")</f>
        <v xml:space="preserve"> </v>
      </c>
      <c r="B89" s="217" t="str">
        <f>IF('E-Mixed'!A89&lt;'Adj-Mixed'!$B$10,'E-Mixed'!A89," ")</f>
        <v xml:space="preserve"> </v>
      </c>
      <c r="C89" s="25" t="str">
        <f>IF('E-Mixed'!A89&lt;'Adj-Mixed'!$B$10,'E-Mixed'!C89," ")</f>
        <v xml:space="preserve"> </v>
      </c>
      <c r="D89" s="27" t="str">
        <f>IF('E-Mixed'!A89&lt;'Adj-Mixed'!$B$10,'E-Mixed'!G89," ")</f>
        <v xml:space="preserve"> </v>
      </c>
      <c r="E89" s="26" t="str">
        <f>IF('E-Mixed'!A89&lt;'Adj-Mixed'!$B$10,'E-Mixed'!D89," ")</f>
        <v xml:space="preserve"> </v>
      </c>
      <c r="F89" s="216"/>
      <c r="G89" s="216" t="str">
        <f t="shared" si="4"/>
        <v xml:space="preserve"> </v>
      </c>
      <c r="H89" s="27" t="str">
        <f>IF('E-Mixed'!A89&lt;'Adj-Mixed'!$B$10,'E-Mixed'!I89," ")</f>
        <v xml:space="preserve"> </v>
      </c>
      <c r="I89" s="217" t="str">
        <f>IF('E-Mixed'!A89&lt;'Adj-Mixed'!$B$10,'E-Mixed'!A89," ")</f>
        <v xml:space="preserve"> </v>
      </c>
      <c r="J89" s="25" t="str">
        <f>IF('E-Mixed'!A89&lt;'Adj-Mixed'!$B$10,'E-Mixed'!J89," ")</f>
        <v xml:space="preserve"> </v>
      </c>
      <c r="K89" s="27" t="str">
        <f>IF('E-Mixed'!A89&lt;'Adj-Mixed'!$B$10,'E-Mixed'!N89," ")</f>
        <v xml:space="preserve"> </v>
      </c>
      <c r="L89" s="26" t="str">
        <f>IF('E-Mixed'!A89&lt;'Adj-Mixed'!$B$10,'E-Mixed'!K89," ")</f>
        <v xml:space="preserve"> </v>
      </c>
      <c r="M89" s="30" t="str">
        <f>IF('E-Mixed'!A89&lt;'Adj-Mixed'!$B$10,'E-Mixed'!M89," ")</f>
        <v xml:space="preserve"> </v>
      </c>
      <c r="N89" t="str">
        <f>IF('E-Mixed'!A89&lt;'Adj-Mixed'!$B$10,1/L89," ")</f>
        <v xml:space="preserve"> </v>
      </c>
      <c r="O89" s="19"/>
      <c r="P89" t="str">
        <f t="shared" si="6"/>
        <v/>
      </c>
      <c r="Q89" t="str">
        <f t="shared" si="7"/>
        <v/>
      </c>
      <c r="R89" s="100" t="str">
        <f t="shared" si="5"/>
        <v/>
      </c>
    </row>
    <row r="90" spans="1:18" x14ac:dyDescent="0.25">
      <c r="A90" s="27" t="str">
        <f>IF('E-Mixed'!A90&lt;'Adj-Mixed'!$B$10,'E-Mixed'!B90," ")</f>
        <v xml:space="preserve"> </v>
      </c>
      <c r="B90" s="217" t="str">
        <f>IF('E-Mixed'!A90&lt;'Adj-Mixed'!$B$10,'E-Mixed'!A90," ")</f>
        <v xml:space="preserve"> </v>
      </c>
      <c r="C90" s="25" t="str">
        <f>IF('E-Mixed'!A90&lt;'Adj-Mixed'!$B$10,'E-Mixed'!C90," ")</f>
        <v xml:space="preserve"> </v>
      </c>
      <c r="D90" s="27" t="str">
        <f>IF('E-Mixed'!A90&lt;'Adj-Mixed'!$B$10,'E-Mixed'!G90," ")</f>
        <v xml:space="preserve"> </v>
      </c>
      <c r="E90" s="26" t="str">
        <f>IF('E-Mixed'!A90&lt;'Adj-Mixed'!$B$10,'E-Mixed'!D90," ")</f>
        <v xml:space="preserve"> </v>
      </c>
      <c r="F90" s="216"/>
      <c r="G90" s="216" t="str">
        <f t="shared" si="4"/>
        <v xml:space="preserve"> </v>
      </c>
      <c r="H90" s="27" t="str">
        <f>IF('E-Mixed'!A90&lt;'Adj-Mixed'!$B$10,'E-Mixed'!I90," ")</f>
        <v xml:space="preserve"> </v>
      </c>
      <c r="I90" s="217" t="str">
        <f>IF('E-Mixed'!A90&lt;'Adj-Mixed'!$B$10,'E-Mixed'!A90," ")</f>
        <v xml:space="preserve"> </v>
      </c>
      <c r="J90" s="25" t="str">
        <f>IF('E-Mixed'!A90&lt;'Adj-Mixed'!$B$10,'E-Mixed'!J90," ")</f>
        <v xml:space="preserve"> </v>
      </c>
      <c r="K90" s="27" t="str">
        <f>IF('E-Mixed'!A90&lt;'Adj-Mixed'!$B$10,'E-Mixed'!N90," ")</f>
        <v xml:space="preserve"> </v>
      </c>
      <c r="L90" s="26" t="str">
        <f>IF('E-Mixed'!A90&lt;'Adj-Mixed'!$B$10,'E-Mixed'!K90," ")</f>
        <v xml:space="preserve"> </v>
      </c>
      <c r="M90" s="30" t="str">
        <f>IF('E-Mixed'!A90&lt;'Adj-Mixed'!$B$10,'E-Mixed'!M90," ")</f>
        <v xml:space="preserve"> </v>
      </c>
      <c r="N90" t="str">
        <f>IF('E-Mixed'!A90&lt;'Adj-Mixed'!$B$10,1/L90," ")</f>
        <v xml:space="preserve"> </v>
      </c>
      <c r="O90" s="19"/>
      <c r="P90" t="str">
        <f t="shared" si="6"/>
        <v/>
      </c>
      <c r="Q90" t="str">
        <f t="shared" si="7"/>
        <v/>
      </c>
      <c r="R90" s="100" t="str">
        <f t="shared" si="5"/>
        <v/>
      </c>
    </row>
    <row r="91" spans="1:18" x14ac:dyDescent="0.25">
      <c r="A91" s="27" t="str">
        <f>IF('E-Mixed'!A91&lt;'Adj-Mixed'!$B$10,'E-Mixed'!B91," ")</f>
        <v xml:space="preserve"> </v>
      </c>
      <c r="B91" s="217" t="str">
        <f>IF('E-Mixed'!A91&lt;'Adj-Mixed'!$B$10,'E-Mixed'!A91," ")</f>
        <v xml:space="preserve"> </v>
      </c>
      <c r="C91" s="25" t="str">
        <f>IF('E-Mixed'!A91&lt;'Adj-Mixed'!$B$10,'E-Mixed'!C91," ")</f>
        <v xml:space="preserve"> </v>
      </c>
      <c r="D91" s="27" t="str">
        <f>IF('E-Mixed'!A91&lt;'Adj-Mixed'!$B$10,'E-Mixed'!G91," ")</f>
        <v xml:space="preserve"> </v>
      </c>
      <c r="E91" s="26" t="str">
        <f>IF('E-Mixed'!A91&lt;'Adj-Mixed'!$B$10,'E-Mixed'!D91," ")</f>
        <v xml:space="preserve"> </v>
      </c>
      <c r="F91" s="216"/>
      <c r="G91" s="216" t="str">
        <f t="shared" si="4"/>
        <v xml:space="preserve"> </v>
      </c>
      <c r="H91" s="27" t="str">
        <f>IF('E-Mixed'!A91&lt;'Adj-Mixed'!$B$10,'E-Mixed'!I91," ")</f>
        <v xml:space="preserve"> </v>
      </c>
      <c r="I91" s="217" t="str">
        <f>IF('E-Mixed'!A91&lt;'Adj-Mixed'!$B$10,'E-Mixed'!A91," ")</f>
        <v xml:space="preserve"> </v>
      </c>
      <c r="J91" s="25" t="str">
        <f>IF('E-Mixed'!A91&lt;'Adj-Mixed'!$B$10,'E-Mixed'!J91," ")</f>
        <v xml:space="preserve"> </v>
      </c>
      <c r="K91" s="27" t="str">
        <f>IF('E-Mixed'!A91&lt;'Adj-Mixed'!$B$10,'E-Mixed'!N91," ")</f>
        <v xml:space="preserve"> </v>
      </c>
      <c r="L91" s="26" t="str">
        <f>IF('E-Mixed'!A91&lt;'Adj-Mixed'!$B$10,'E-Mixed'!K91," ")</f>
        <v xml:space="preserve"> </v>
      </c>
      <c r="M91" s="30" t="str">
        <f>IF('E-Mixed'!A91&lt;'Adj-Mixed'!$B$10,'E-Mixed'!M91," ")</f>
        <v xml:space="preserve"> </v>
      </c>
      <c r="N91" t="str">
        <f>IF('E-Mixed'!A91&lt;'Adj-Mixed'!$B$10,1/L91," ")</f>
        <v xml:space="preserve"> </v>
      </c>
      <c r="O91" s="19"/>
      <c r="P91" t="str">
        <f t="shared" si="6"/>
        <v/>
      </c>
      <c r="Q91" t="str">
        <f t="shared" si="7"/>
        <v/>
      </c>
      <c r="R91" s="100" t="str">
        <f t="shared" si="5"/>
        <v/>
      </c>
    </row>
    <row r="92" spans="1:18" x14ac:dyDescent="0.25">
      <c r="A92" s="27" t="str">
        <f>IF('E-Mixed'!A92&lt;'Adj-Mixed'!$B$10,'E-Mixed'!B92," ")</f>
        <v xml:space="preserve"> </v>
      </c>
      <c r="B92" s="217" t="str">
        <f>IF('E-Mixed'!A92&lt;'Adj-Mixed'!$B$10,'E-Mixed'!A92," ")</f>
        <v xml:space="preserve"> </v>
      </c>
      <c r="C92" s="25" t="str">
        <f>IF('E-Mixed'!A92&lt;'Adj-Mixed'!$B$10,'E-Mixed'!C92," ")</f>
        <v xml:space="preserve"> </v>
      </c>
      <c r="D92" s="27" t="str">
        <f>IF('E-Mixed'!A92&lt;'Adj-Mixed'!$B$10,'E-Mixed'!G92," ")</f>
        <v xml:space="preserve"> </v>
      </c>
      <c r="E92" s="26" t="str">
        <f>IF('E-Mixed'!A92&lt;'Adj-Mixed'!$B$10,'E-Mixed'!D92," ")</f>
        <v xml:space="preserve"> </v>
      </c>
      <c r="F92" s="216"/>
      <c r="G92" s="216" t="str">
        <f t="shared" si="4"/>
        <v xml:space="preserve"> </v>
      </c>
      <c r="H92" s="27" t="str">
        <f>IF('E-Mixed'!A92&lt;'Adj-Mixed'!$B$10,'E-Mixed'!I92," ")</f>
        <v xml:space="preserve"> </v>
      </c>
      <c r="I92" s="217" t="str">
        <f>IF('E-Mixed'!A92&lt;'Adj-Mixed'!$B$10,'E-Mixed'!A92," ")</f>
        <v xml:space="preserve"> </v>
      </c>
      <c r="J92" s="25" t="str">
        <f>IF('E-Mixed'!A92&lt;'Adj-Mixed'!$B$10,'E-Mixed'!J92," ")</f>
        <v xml:space="preserve"> </v>
      </c>
      <c r="K92" s="27" t="str">
        <f>IF('E-Mixed'!A92&lt;'Adj-Mixed'!$B$10,'E-Mixed'!N92," ")</f>
        <v xml:space="preserve"> </v>
      </c>
      <c r="L92" s="26" t="str">
        <f>IF('E-Mixed'!A92&lt;'Adj-Mixed'!$B$10,'E-Mixed'!K92," ")</f>
        <v xml:space="preserve"> </v>
      </c>
      <c r="M92" s="30" t="str">
        <f>IF('E-Mixed'!A92&lt;'Adj-Mixed'!$B$10,'E-Mixed'!M92," ")</f>
        <v xml:space="preserve"> </v>
      </c>
      <c r="N92" t="str">
        <f>IF('E-Mixed'!A92&lt;'Adj-Mixed'!$B$10,1/L92," ")</f>
        <v xml:space="preserve"> </v>
      </c>
      <c r="O92" s="19"/>
      <c r="P92" t="str">
        <f t="shared" si="6"/>
        <v/>
      </c>
      <c r="Q92" t="str">
        <f t="shared" si="7"/>
        <v/>
      </c>
      <c r="R92" s="100" t="str">
        <f t="shared" si="5"/>
        <v/>
      </c>
    </row>
    <row r="93" spans="1:18" x14ac:dyDescent="0.25">
      <c r="A93" s="27" t="str">
        <f>IF('E-Mixed'!A93&lt;'Adj-Mixed'!$B$10,'E-Mixed'!B93," ")</f>
        <v xml:space="preserve"> </v>
      </c>
      <c r="B93" s="217" t="str">
        <f>IF('E-Mixed'!A93&lt;'Adj-Mixed'!$B$10,'E-Mixed'!A93," ")</f>
        <v xml:space="preserve"> </v>
      </c>
      <c r="C93" s="25" t="str">
        <f>IF('E-Mixed'!A93&lt;'Adj-Mixed'!$B$10,'E-Mixed'!C93," ")</f>
        <v xml:space="preserve"> </v>
      </c>
      <c r="D93" s="27" t="str">
        <f>IF('E-Mixed'!A93&lt;'Adj-Mixed'!$B$10,'E-Mixed'!G93," ")</f>
        <v xml:space="preserve"> </v>
      </c>
      <c r="E93" s="26" t="str">
        <f>IF('E-Mixed'!A93&lt;'Adj-Mixed'!$B$10,'E-Mixed'!D93," ")</f>
        <v xml:space="preserve"> </v>
      </c>
      <c r="F93" s="216"/>
      <c r="G93" s="216" t="str">
        <f t="shared" si="4"/>
        <v xml:space="preserve"> </v>
      </c>
      <c r="H93" s="27" t="str">
        <f>IF('E-Mixed'!A93&lt;'Adj-Mixed'!$B$10,'E-Mixed'!I93," ")</f>
        <v xml:space="preserve"> </v>
      </c>
      <c r="I93" s="217" t="str">
        <f>IF('E-Mixed'!A93&lt;'Adj-Mixed'!$B$10,'E-Mixed'!A93," ")</f>
        <v xml:space="preserve"> </v>
      </c>
      <c r="J93" s="25" t="str">
        <f>IF('E-Mixed'!A93&lt;'Adj-Mixed'!$B$10,'E-Mixed'!J93," ")</f>
        <v xml:space="preserve"> </v>
      </c>
      <c r="K93" s="27" t="str">
        <f>IF('E-Mixed'!A93&lt;'Adj-Mixed'!$B$10,'E-Mixed'!N93," ")</f>
        <v xml:space="preserve"> </v>
      </c>
      <c r="L93" s="26" t="str">
        <f>IF('E-Mixed'!A93&lt;'Adj-Mixed'!$B$10,'E-Mixed'!K93," ")</f>
        <v xml:space="preserve"> </v>
      </c>
      <c r="M93" s="30" t="str">
        <f>IF('E-Mixed'!A93&lt;'Adj-Mixed'!$B$10,'E-Mixed'!M93," ")</f>
        <v xml:space="preserve"> </v>
      </c>
      <c r="N93" t="str">
        <f>IF('E-Mixed'!A93&lt;'Adj-Mixed'!$B$10,1/L93," ")</f>
        <v xml:space="preserve"> </v>
      </c>
      <c r="O93" s="19"/>
      <c r="P93" t="str">
        <f t="shared" si="6"/>
        <v/>
      </c>
      <c r="Q93" t="str">
        <f t="shared" si="7"/>
        <v/>
      </c>
      <c r="R93" s="100" t="str">
        <f t="shared" si="5"/>
        <v/>
      </c>
    </row>
    <row r="94" spans="1:18" x14ac:dyDescent="0.25">
      <c r="A94" s="27" t="str">
        <f>IF('E-Mixed'!A94&lt;'Adj-Mixed'!$B$10,'E-Mixed'!B94," ")</f>
        <v xml:space="preserve"> </v>
      </c>
      <c r="B94" s="217" t="str">
        <f>IF('E-Mixed'!A94&lt;'Adj-Mixed'!$B$10,'E-Mixed'!A94," ")</f>
        <v xml:space="preserve"> </v>
      </c>
      <c r="C94" s="25" t="str">
        <f>IF('E-Mixed'!A94&lt;'Adj-Mixed'!$B$10,'E-Mixed'!C94," ")</f>
        <v xml:space="preserve"> </v>
      </c>
      <c r="D94" s="27" t="str">
        <f>IF('E-Mixed'!A94&lt;'Adj-Mixed'!$B$10,'E-Mixed'!G94," ")</f>
        <v xml:space="preserve"> </v>
      </c>
      <c r="E94" s="26" t="str">
        <f>IF('E-Mixed'!A94&lt;'Adj-Mixed'!$B$10,'E-Mixed'!D94," ")</f>
        <v xml:space="preserve"> </v>
      </c>
      <c r="F94" s="216"/>
      <c r="G94" s="216" t="str">
        <f t="shared" si="4"/>
        <v xml:space="preserve"> </v>
      </c>
      <c r="H94" s="27" t="str">
        <f>IF('E-Mixed'!A94&lt;'Adj-Mixed'!$B$10,'E-Mixed'!I94," ")</f>
        <v xml:space="preserve"> </v>
      </c>
      <c r="I94" s="217" t="str">
        <f>IF('E-Mixed'!A94&lt;'Adj-Mixed'!$B$10,'E-Mixed'!A94," ")</f>
        <v xml:space="preserve"> </v>
      </c>
      <c r="J94" s="25" t="str">
        <f>IF('E-Mixed'!A94&lt;'Adj-Mixed'!$B$10,'E-Mixed'!J94," ")</f>
        <v xml:space="preserve"> </v>
      </c>
      <c r="K94" s="27" t="str">
        <f>IF('E-Mixed'!A94&lt;'Adj-Mixed'!$B$10,'E-Mixed'!N94," ")</f>
        <v xml:space="preserve"> </v>
      </c>
      <c r="L94" s="26" t="str">
        <f>IF('E-Mixed'!A94&lt;'Adj-Mixed'!$B$10,'E-Mixed'!K94," ")</f>
        <v xml:space="preserve"> </v>
      </c>
      <c r="M94" s="30" t="str">
        <f>IF('E-Mixed'!A94&lt;'Adj-Mixed'!$B$10,'E-Mixed'!M94," ")</f>
        <v xml:space="preserve"> </v>
      </c>
      <c r="N94" t="str">
        <f>IF('E-Mixed'!A94&lt;'Adj-Mixed'!$B$10,1/L94," ")</f>
        <v xml:space="preserve"> </v>
      </c>
      <c r="O94" s="19"/>
      <c r="P94" t="str">
        <f t="shared" si="6"/>
        <v/>
      </c>
      <c r="Q94" t="str">
        <f t="shared" si="7"/>
        <v/>
      </c>
      <c r="R94" s="100" t="str">
        <f t="shared" si="5"/>
        <v/>
      </c>
    </row>
    <row r="95" spans="1:18" x14ac:dyDescent="0.25">
      <c r="A95" s="27" t="str">
        <f>IF('E-Mixed'!A95&lt;'Adj-Mixed'!$B$10,'E-Mixed'!B95," ")</f>
        <v xml:space="preserve"> </v>
      </c>
      <c r="B95" s="217" t="str">
        <f>IF('E-Mixed'!A95&lt;'Adj-Mixed'!$B$10,'E-Mixed'!A95," ")</f>
        <v xml:space="preserve"> </v>
      </c>
      <c r="C95" s="25" t="str">
        <f>IF('E-Mixed'!A95&lt;'Adj-Mixed'!$B$10,'E-Mixed'!C95," ")</f>
        <v xml:space="preserve"> </v>
      </c>
      <c r="D95" s="27" t="str">
        <f>IF('E-Mixed'!A95&lt;'Adj-Mixed'!$B$10,'E-Mixed'!G95," ")</f>
        <v xml:space="preserve"> </v>
      </c>
      <c r="E95" s="26" t="str">
        <f>IF('E-Mixed'!A95&lt;'Adj-Mixed'!$B$10,'E-Mixed'!D95," ")</f>
        <v xml:space="preserve"> </v>
      </c>
      <c r="F95" s="216"/>
      <c r="G95" s="216" t="str">
        <f t="shared" si="4"/>
        <v xml:space="preserve"> </v>
      </c>
      <c r="H95" s="27" t="str">
        <f>IF('E-Mixed'!A95&lt;'Adj-Mixed'!$B$10,'E-Mixed'!I95," ")</f>
        <v xml:space="preserve"> </v>
      </c>
      <c r="I95" s="217" t="str">
        <f>IF('E-Mixed'!A95&lt;'Adj-Mixed'!$B$10,'E-Mixed'!A95," ")</f>
        <v xml:space="preserve"> </v>
      </c>
      <c r="J95" s="25" t="str">
        <f>IF('E-Mixed'!A95&lt;'Adj-Mixed'!$B$10,'E-Mixed'!J95," ")</f>
        <v xml:space="preserve"> </v>
      </c>
      <c r="K95" s="27" t="str">
        <f>IF('E-Mixed'!A95&lt;'Adj-Mixed'!$B$10,'E-Mixed'!N95," ")</f>
        <v xml:space="preserve"> </v>
      </c>
      <c r="L95" s="26" t="str">
        <f>IF('E-Mixed'!A95&lt;'Adj-Mixed'!$B$10,'E-Mixed'!K95," ")</f>
        <v xml:space="preserve"> </v>
      </c>
      <c r="M95" s="30" t="str">
        <f>IF('E-Mixed'!A95&lt;'Adj-Mixed'!$B$10,'E-Mixed'!M95," ")</f>
        <v xml:space="preserve"> </v>
      </c>
      <c r="N95" t="str">
        <f>IF('E-Mixed'!A95&lt;'Adj-Mixed'!$B$10,1/L95," ")</f>
        <v xml:space="preserve"> </v>
      </c>
      <c r="O95" s="19"/>
      <c r="P95" t="str">
        <f t="shared" si="6"/>
        <v/>
      </c>
      <c r="Q95" t="str">
        <f t="shared" si="7"/>
        <v/>
      </c>
      <c r="R95" s="100" t="str">
        <f t="shared" si="5"/>
        <v/>
      </c>
    </row>
    <row r="96" spans="1:18" x14ac:dyDescent="0.25">
      <c r="A96" s="27" t="str">
        <f>IF('E-Mixed'!A96&lt;'Adj-Mixed'!$B$10,'E-Mixed'!B96," ")</f>
        <v xml:space="preserve"> </v>
      </c>
      <c r="B96" s="217" t="str">
        <f>IF('E-Mixed'!A96&lt;'Adj-Mixed'!$B$10,'E-Mixed'!A96," ")</f>
        <v xml:space="preserve"> </v>
      </c>
      <c r="C96" s="25" t="str">
        <f>IF('E-Mixed'!A96&lt;'Adj-Mixed'!$B$10,'E-Mixed'!C96," ")</f>
        <v xml:space="preserve"> </v>
      </c>
      <c r="D96" s="27" t="str">
        <f>IF('E-Mixed'!A96&lt;'Adj-Mixed'!$B$10,'E-Mixed'!G96," ")</f>
        <v xml:space="preserve"> </v>
      </c>
      <c r="E96" s="26" t="str">
        <f>IF('E-Mixed'!A96&lt;'Adj-Mixed'!$B$10,'E-Mixed'!D96," ")</f>
        <v xml:space="preserve"> </v>
      </c>
      <c r="F96" s="216"/>
      <c r="G96" s="216" t="str">
        <f t="shared" si="4"/>
        <v xml:space="preserve"> </v>
      </c>
      <c r="H96" s="27" t="str">
        <f>IF('E-Mixed'!A96&lt;'Adj-Mixed'!$B$10,'E-Mixed'!I96," ")</f>
        <v xml:space="preserve"> </v>
      </c>
      <c r="I96" s="217" t="str">
        <f>IF('E-Mixed'!A96&lt;'Adj-Mixed'!$B$10,'E-Mixed'!A96," ")</f>
        <v xml:space="preserve"> </v>
      </c>
      <c r="J96" s="25" t="str">
        <f>IF('E-Mixed'!A96&lt;'Adj-Mixed'!$B$10,'E-Mixed'!J96," ")</f>
        <v xml:space="preserve"> </v>
      </c>
      <c r="K96" s="27" t="str">
        <f>IF('E-Mixed'!A96&lt;'Adj-Mixed'!$B$10,'E-Mixed'!N96," ")</f>
        <v xml:space="preserve"> </v>
      </c>
      <c r="L96" s="26" t="str">
        <f>IF('E-Mixed'!A96&lt;'Adj-Mixed'!$B$10,'E-Mixed'!K96," ")</f>
        <v xml:space="preserve"> </v>
      </c>
      <c r="M96" s="30" t="str">
        <f>IF('E-Mixed'!A96&lt;'Adj-Mixed'!$B$10,'E-Mixed'!M96," ")</f>
        <v xml:space="preserve"> </v>
      </c>
      <c r="N96" t="str">
        <f>IF('E-Mixed'!A96&lt;'Adj-Mixed'!$B$10,1/L96," ")</f>
        <v xml:space="preserve"> </v>
      </c>
      <c r="O96" s="19"/>
      <c r="P96" t="str">
        <f t="shared" si="6"/>
        <v/>
      </c>
      <c r="Q96" t="str">
        <f t="shared" si="7"/>
        <v/>
      </c>
      <c r="R96" s="100" t="str">
        <f t="shared" si="5"/>
        <v/>
      </c>
    </row>
    <row r="97" spans="1:18" x14ac:dyDescent="0.25">
      <c r="A97" s="27" t="str">
        <f>IF('E-Mixed'!A97&lt;'Adj-Mixed'!$B$10,'E-Mixed'!B97," ")</f>
        <v xml:space="preserve"> </v>
      </c>
      <c r="B97" s="217" t="str">
        <f>IF('E-Mixed'!A97&lt;'Adj-Mixed'!$B$10,'E-Mixed'!A97," ")</f>
        <v xml:space="preserve"> </v>
      </c>
      <c r="C97" s="25" t="str">
        <f>IF('E-Mixed'!A97&lt;'Adj-Mixed'!$B$10,'E-Mixed'!C97," ")</f>
        <v xml:space="preserve"> </v>
      </c>
      <c r="D97" s="27" t="str">
        <f>IF('E-Mixed'!A97&lt;'Adj-Mixed'!$B$10,'E-Mixed'!G97," ")</f>
        <v xml:space="preserve"> </v>
      </c>
      <c r="E97" s="26" t="str">
        <f>IF('E-Mixed'!A97&lt;'Adj-Mixed'!$B$10,'E-Mixed'!D97," ")</f>
        <v xml:space="preserve"> </v>
      </c>
      <c r="F97" s="216"/>
      <c r="G97" s="216" t="str">
        <f t="shared" si="4"/>
        <v xml:space="preserve"> </v>
      </c>
      <c r="H97" s="27" t="str">
        <f>IF('E-Mixed'!A97&lt;'Adj-Mixed'!$B$10,'E-Mixed'!I97," ")</f>
        <v xml:space="preserve"> </v>
      </c>
      <c r="I97" s="217" t="str">
        <f>IF('E-Mixed'!A97&lt;'Adj-Mixed'!$B$10,'E-Mixed'!A97," ")</f>
        <v xml:space="preserve"> </v>
      </c>
      <c r="J97" s="25" t="str">
        <f>IF('E-Mixed'!A97&lt;'Adj-Mixed'!$B$10,'E-Mixed'!J97," ")</f>
        <v xml:space="preserve"> </v>
      </c>
      <c r="K97" s="27" t="str">
        <f>IF('E-Mixed'!A97&lt;'Adj-Mixed'!$B$10,'E-Mixed'!N97," ")</f>
        <v xml:space="preserve"> </v>
      </c>
      <c r="L97" s="26" t="str">
        <f>IF('E-Mixed'!A97&lt;'Adj-Mixed'!$B$10,'E-Mixed'!K97," ")</f>
        <v xml:space="preserve"> </v>
      </c>
      <c r="M97" s="30" t="str">
        <f>IF('E-Mixed'!A97&lt;'Adj-Mixed'!$B$10,'E-Mixed'!M97," ")</f>
        <v xml:space="preserve"> </v>
      </c>
      <c r="N97" t="str">
        <f>IF('E-Mixed'!A97&lt;'Adj-Mixed'!$B$10,1/L97," ")</f>
        <v xml:space="preserve"> </v>
      </c>
      <c r="O97" s="19"/>
      <c r="P97" t="str">
        <f t="shared" si="6"/>
        <v/>
      </c>
      <c r="Q97" t="str">
        <f t="shared" si="7"/>
        <v/>
      </c>
      <c r="R97" s="100" t="str">
        <f t="shared" si="5"/>
        <v/>
      </c>
    </row>
    <row r="98" spans="1:18" x14ac:dyDescent="0.25">
      <c r="A98" s="27" t="str">
        <f>IF('E-Mixed'!A98&lt;'Adj-Mixed'!$B$10,'E-Mixed'!B98," ")</f>
        <v xml:space="preserve"> </v>
      </c>
      <c r="B98" s="217" t="str">
        <f>IF('E-Mixed'!A98&lt;'Adj-Mixed'!$B$10,'E-Mixed'!A98," ")</f>
        <v xml:space="preserve"> </v>
      </c>
      <c r="C98" s="25" t="str">
        <f>IF('E-Mixed'!A98&lt;'Adj-Mixed'!$B$10,'E-Mixed'!C98," ")</f>
        <v xml:space="preserve"> </v>
      </c>
      <c r="D98" s="27" t="str">
        <f>IF('E-Mixed'!A98&lt;'Adj-Mixed'!$B$10,'E-Mixed'!G98," ")</f>
        <v xml:space="preserve"> </v>
      </c>
      <c r="E98" s="26" t="str">
        <f>IF('E-Mixed'!A98&lt;'Adj-Mixed'!$B$10,'E-Mixed'!D98," ")</f>
        <v xml:space="preserve"> </v>
      </c>
      <c r="F98" s="216"/>
      <c r="G98" s="216" t="str">
        <f t="shared" si="4"/>
        <v xml:space="preserve"> </v>
      </c>
      <c r="H98" s="27" t="str">
        <f>IF('E-Mixed'!A98&lt;'Adj-Mixed'!$B$10,'E-Mixed'!I98," ")</f>
        <v xml:space="preserve"> </v>
      </c>
      <c r="I98" s="217" t="str">
        <f>IF('E-Mixed'!A98&lt;'Adj-Mixed'!$B$10,'E-Mixed'!A98," ")</f>
        <v xml:space="preserve"> </v>
      </c>
      <c r="J98" s="25" t="str">
        <f>IF('E-Mixed'!A98&lt;'Adj-Mixed'!$B$10,'E-Mixed'!J98," ")</f>
        <v xml:space="preserve"> </v>
      </c>
      <c r="K98" s="27" t="str">
        <f>IF('E-Mixed'!A98&lt;'Adj-Mixed'!$B$10,'E-Mixed'!N98," ")</f>
        <v xml:space="preserve"> </v>
      </c>
      <c r="L98" s="26" t="str">
        <f>IF('E-Mixed'!A98&lt;'Adj-Mixed'!$B$10,'E-Mixed'!K98," ")</f>
        <v xml:space="preserve"> </v>
      </c>
      <c r="M98" s="30" t="str">
        <f>IF('E-Mixed'!A98&lt;'Adj-Mixed'!$B$10,'E-Mixed'!M98," ")</f>
        <v xml:space="preserve"> </v>
      </c>
      <c r="N98" t="str">
        <f>IF('E-Mixed'!A98&lt;'Adj-Mixed'!$B$10,1/L98," ")</f>
        <v xml:space="preserve"> </v>
      </c>
      <c r="O98" s="19"/>
      <c r="P98" t="str">
        <f t="shared" si="6"/>
        <v/>
      </c>
      <c r="Q98" t="str">
        <f t="shared" si="7"/>
        <v/>
      </c>
      <c r="R98" s="100" t="str">
        <f t="shared" si="5"/>
        <v/>
      </c>
    </row>
    <row r="99" spans="1:18" x14ac:dyDescent="0.25">
      <c r="A99" s="27" t="str">
        <f>IF('E-Mixed'!A99&lt;'Adj-Mixed'!$B$10,'E-Mixed'!B99," ")</f>
        <v xml:space="preserve"> </v>
      </c>
      <c r="B99" s="217" t="str">
        <f>IF('E-Mixed'!A99&lt;'Adj-Mixed'!$B$10,'E-Mixed'!A99," ")</f>
        <v xml:space="preserve"> </v>
      </c>
      <c r="C99" s="25" t="str">
        <f>IF('E-Mixed'!A99&lt;'Adj-Mixed'!$B$10,'E-Mixed'!C99," ")</f>
        <v xml:space="preserve"> </v>
      </c>
      <c r="D99" s="27" t="str">
        <f>IF('E-Mixed'!A99&lt;'Adj-Mixed'!$B$10,'E-Mixed'!G99," ")</f>
        <v xml:space="preserve"> </v>
      </c>
      <c r="E99" s="26" t="str">
        <f>IF('E-Mixed'!A99&lt;'Adj-Mixed'!$B$10,'E-Mixed'!D99," ")</f>
        <v xml:space="preserve"> </v>
      </c>
      <c r="F99" s="216"/>
      <c r="G99" s="216" t="str">
        <f t="shared" si="4"/>
        <v xml:space="preserve"> </v>
      </c>
      <c r="H99" s="27" t="str">
        <f>IF('E-Mixed'!A99&lt;'Adj-Mixed'!$B$10,'E-Mixed'!I99," ")</f>
        <v xml:space="preserve"> </v>
      </c>
      <c r="I99" s="217" t="str">
        <f>IF('E-Mixed'!A99&lt;'Adj-Mixed'!$B$10,'E-Mixed'!A99," ")</f>
        <v xml:space="preserve"> </v>
      </c>
      <c r="J99" s="25" t="str">
        <f>IF('E-Mixed'!A99&lt;'Adj-Mixed'!$B$10,'E-Mixed'!J99," ")</f>
        <v xml:space="preserve"> </v>
      </c>
      <c r="K99" s="27" t="str">
        <f>IF('E-Mixed'!A99&lt;'Adj-Mixed'!$B$10,'E-Mixed'!N99," ")</f>
        <v xml:space="preserve"> </v>
      </c>
      <c r="L99" s="26" t="str">
        <f>IF('E-Mixed'!A99&lt;'Adj-Mixed'!$B$10,'E-Mixed'!K99," ")</f>
        <v xml:space="preserve"> </v>
      </c>
      <c r="M99" s="30" t="str">
        <f>IF('E-Mixed'!A99&lt;'Adj-Mixed'!$B$10,'E-Mixed'!M99," ")</f>
        <v xml:space="preserve"> </v>
      </c>
      <c r="N99" t="str">
        <f>IF('E-Mixed'!A99&lt;'Adj-Mixed'!$B$10,1/L99," ")</f>
        <v xml:space="preserve"> </v>
      </c>
      <c r="O99" s="19"/>
      <c r="P99" t="str">
        <f t="shared" si="6"/>
        <v/>
      </c>
      <c r="Q99" t="str">
        <f t="shared" si="7"/>
        <v/>
      </c>
      <c r="R99" s="100" t="str">
        <f t="shared" si="5"/>
        <v/>
      </c>
    </row>
    <row r="100" spans="1:18" x14ac:dyDescent="0.25">
      <c r="A100" s="27" t="str">
        <f>IF('E-Mixed'!A100&lt;'Adj-Mixed'!$B$10,'E-Mixed'!B100," ")</f>
        <v xml:space="preserve"> </v>
      </c>
      <c r="B100" s="217" t="str">
        <f>IF('E-Mixed'!A100&lt;'Adj-Mixed'!$B$10,'E-Mixed'!A100," ")</f>
        <v xml:space="preserve"> </v>
      </c>
      <c r="C100" s="25" t="str">
        <f>IF('E-Mixed'!A100&lt;'Adj-Mixed'!$B$10,'E-Mixed'!C100," ")</f>
        <v xml:space="preserve"> </v>
      </c>
      <c r="D100" s="27" t="str">
        <f>IF('E-Mixed'!A100&lt;'Adj-Mixed'!$B$10,'E-Mixed'!G100," ")</f>
        <v xml:space="preserve"> </v>
      </c>
      <c r="E100" s="26" t="str">
        <f>IF('E-Mixed'!A100&lt;'Adj-Mixed'!$B$10,'E-Mixed'!D100," ")</f>
        <v xml:space="preserve"> </v>
      </c>
      <c r="F100" s="216"/>
      <c r="G100" s="216" t="str">
        <f t="shared" si="4"/>
        <v xml:space="preserve"> </v>
      </c>
      <c r="H100" s="27" t="str">
        <f>IF('E-Mixed'!A100&lt;'Adj-Mixed'!$B$10,'E-Mixed'!I100," ")</f>
        <v xml:space="preserve"> </v>
      </c>
      <c r="I100" s="217" t="str">
        <f>IF('E-Mixed'!A100&lt;'Adj-Mixed'!$B$10,'E-Mixed'!A100," ")</f>
        <v xml:space="preserve"> </v>
      </c>
      <c r="J100" s="25" t="str">
        <f>IF('E-Mixed'!A100&lt;'Adj-Mixed'!$B$10,'E-Mixed'!J100," ")</f>
        <v xml:space="preserve"> </v>
      </c>
      <c r="K100" s="27" t="str">
        <f>IF('E-Mixed'!A100&lt;'Adj-Mixed'!$B$10,'E-Mixed'!N100," ")</f>
        <v xml:space="preserve"> </v>
      </c>
      <c r="L100" s="26" t="str">
        <f>IF('E-Mixed'!A100&lt;'Adj-Mixed'!$B$10,'E-Mixed'!K100," ")</f>
        <v xml:space="preserve"> </v>
      </c>
      <c r="M100" s="30" t="str">
        <f>IF('E-Mixed'!A100&lt;'Adj-Mixed'!$B$10,'E-Mixed'!M100," ")</f>
        <v xml:space="preserve"> </v>
      </c>
      <c r="N100" t="str">
        <f>IF('E-Mixed'!A100&lt;'Adj-Mixed'!$B$10,1/L100," ")</f>
        <v xml:space="preserve"> </v>
      </c>
      <c r="O100" s="19"/>
      <c r="P100" t="str">
        <f t="shared" si="6"/>
        <v/>
      </c>
      <c r="Q100" t="str">
        <f t="shared" si="7"/>
        <v/>
      </c>
      <c r="R100" s="100" t="str">
        <f t="shared" si="5"/>
        <v/>
      </c>
    </row>
    <row r="101" spans="1:18" x14ac:dyDescent="0.25">
      <c r="A101" s="27" t="str">
        <f>IF('E-Mixed'!A101&lt;'Adj-Mixed'!$B$10,'E-Mixed'!B101," ")</f>
        <v xml:space="preserve"> </v>
      </c>
      <c r="B101" s="217" t="str">
        <f>IF('E-Mixed'!A101&lt;'Adj-Mixed'!$B$10,'E-Mixed'!A101," ")</f>
        <v xml:space="preserve"> </v>
      </c>
      <c r="C101" s="25" t="str">
        <f>IF('E-Mixed'!A101&lt;'Adj-Mixed'!$B$10,'E-Mixed'!C101," ")</f>
        <v xml:space="preserve"> </v>
      </c>
      <c r="D101" s="27" t="str">
        <f>IF('E-Mixed'!A101&lt;'Adj-Mixed'!$B$10,'E-Mixed'!G101," ")</f>
        <v xml:space="preserve"> </v>
      </c>
      <c r="E101" s="26" t="str">
        <f>IF('E-Mixed'!A101&lt;'Adj-Mixed'!$B$10,'E-Mixed'!D101," ")</f>
        <v xml:space="preserve"> </v>
      </c>
      <c r="F101" s="216"/>
      <c r="G101" s="216" t="str">
        <f t="shared" si="4"/>
        <v xml:space="preserve"> </v>
      </c>
      <c r="H101" s="27" t="str">
        <f>IF('E-Mixed'!A101&lt;'Adj-Mixed'!$B$10,'E-Mixed'!I101," ")</f>
        <v xml:space="preserve"> </v>
      </c>
      <c r="I101" s="217" t="str">
        <f>IF('E-Mixed'!A101&lt;'Adj-Mixed'!$B$10,'E-Mixed'!A101," ")</f>
        <v xml:space="preserve"> </v>
      </c>
      <c r="J101" s="25" t="str">
        <f>IF('E-Mixed'!A101&lt;'Adj-Mixed'!$B$10,'E-Mixed'!J101," ")</f>
        <v xml:space="preserve"> </v>
      </c>
      <c r="K101" s="27" t="str">
        <f>IF('E-Mixed'!A101&lt;'Adj-Mixed'!$B$10,'E-Mixed'!N101," ")</f>
        <v xml:space="preserve"> </v>
      </c>
      <c r="L101" s="26" t="str">
        <f>IF('E-Mixed'!A101&lt;'Adj-Mixed'!$B$10,'E-Mixed'!K101," ")</f>
        <v xml:space="preserve"> </v>
      </c>
      <c r="M101" s="30" t="str">
        <f>IF('E-Mixed'!A101&lt;'Adj-Mixed'!$B$10,'E-Mixed'!M101," ")</f>
        <v xml:space="preserve"> </v>
      </c>
      <c r="N101" t="str">
        <f>IF('E-Mixed'!A101&lt;'Adj-Mixed'!$B$10,1/L101," ")</f>
        <v xml:space="preserve"> </v>
      </c>
      <c r="O101" s="19"/>
      <c r="P101" t="str">
        <f t="shared" si="6"/>
        <v/>
      </c>
      <c r="Q101" t="str">
        <f t="shared" si="7"/>
        <v/>
      </c>
      <c r="R101" s="100" t="str">
        <f t="shared" si="5"/>
        <v/>
      </c>
    </row>
    <row r="102" spans="1:18" x14ac:dyDescent="0.25">
      <c r="A102" s="27" t="str">
        <f>IF('E-Mixed'!A102&lt;'Adj-Mixed'!$B$10,'E-Mixed'!B102," ")</f>
        <v xml:space="preserve"> </v>
      </c>
      <c r="B102" s="217" t="str">
        <f>IF('E-Mixed'!A102&lt;'Adj-Mixed'!$B$10,'E-Mixed'!A102," ")</f>
        <v xml:space="preserve"> </v>
      </c>
      <c r="C102" s="25" t="str">
        <f>IF('E-Mixed'!A102&lt;'Adj-Mixed'!$B$10,'E-Mixed'!C102," ")</f>
        <v xml:space="preserve"> </v>
      </c>
      <c r="D102" s="27" t="str">
        <f>IF('E-Mixed'!A102&lt;'Adj-Mixed'!$B$10,'E-Mixed'!G102," ")</f>
        <v xml:space="preserve"> </v>
      </c>
      <c r="E102" s="26" t="str">
        <f>IF('E-Mixed'!A102&lt;'Adj-Mixed'!$B$10,'E-Mixed'!D102," ")</f>
        <v xml:space="preserve"> </v>
      </c>
      <c r="F102" s="216"/>
      <c r="G102" s="216" t="str">
        <f t="shared" si="4"/>
        <v xml:space="preserve"> </v>
      </c>
      <c r="H102" s="27" t="str">
        <f>IF('E-Mixed'!A102&lt;'Adj-Mixed'!$B$10,'E-Mixed'!I102," ")</f>
        <v xml:space="preserve"> </v>
      </c>
      <c r="I102" s="217" t="str">
        <f>IF('E-Mixed'!A102&lt;'Adj-Mixed'!$B$10,'E-Mixed'!A102," ")</f>
        <v xml:space="preserve"> </v>
      </c>
      <c r="J102" s="25" t="str">
        <f>IF('E-Mixed'!A102&lt;'Adj-Mixed'!$B$10,'E-Mixed'!J102," ")</f>
        <v xml:space="preserve"> </v>
      </c>
      <c r="K102" s="27" t="str">
        <f>IF('E-Mixed'!A102&lt;'Adj-Mixed'!$B$10,'E-Mixed'!N102," ")</f>
        <v xml:space="preserve"> </v>
      </c>
      <c r="L102" s="26" t="str">
        <f>IF('E-Mixed'!A102&lt;'Adj-Mixed'!$B$10,'E-Mixed'!K102," ")</f>
        <v xml:space="preserve"> </v>
      </c>
      <c r="M102" s="30" t="str">
        <f>IF('E-Mixed'!A102&lt;'Adj-Mixed'!$B$10,'E-Mixed'!M102," ")</f>
        <v xml:space="preserve"> </v>
      </c>
      <c r="N102" t="str">
        <f>IF('E-Mixed'!A102&lt;'Adj-Mixed'!$B$10,1/L102," ")</f>
        <v xml:space="preserve"> </v>
      </c>
      <c r="O102" s="19"/>
      <c r="P102" t="str">
        <f t="shared" si="6"/>
        <v/>
      </c>
      <c r="Q102" t="str">
        <f t="shared" si="7"/>
        <v/>
      </c>
      <c r="R102" s="100" t="str">
        <f t="shared" si="5"/>
        <v/>
      </c>
    </row>
    <row r="103" spans="1:18" x14ac:dyDescent="0.25">
      <c r="A103" s="27" t="str">
        <f>IF('E-Mixed'!A103&lt;'Adj-Mixed'!$B$10,'E-Mixed'!B103," ")</f>
        <v xml:space="preserve"> </v>
      </c>
      <c r="B103" s="217" t="str">
        <f>IF('E-Mixed'!A103&lt;'Adj-Mixed'!$B$10,'E-Mixed'!A103," ")</f>
        <v xml:space="preserve"> </v>
      </c>
      <c r="C103" s="25" t="str">
        <f>IF('E-Mixed'!A103&lt;'Adj-Mixed'!$B$10,'E-Mixed'!C103," ")</f>
        <v xml:space="preserve"> </v>
      </c>
      <c r="D103" s="27" t="str">
        <f>IF('E-Mixed'!A103&lt;'Adj-Mixed'!$B$10,'E-Mixed'!G103," ")</f>
        <v xml:space="preserve"> </v>
      </c>
      <c r="E103" s="26" t="str">
        <f>IF('E-Mixed'!A103&lt;'Adj-Mixed'!$B$10,'E-Mixed'!D103," ")</f>
        <v xml:space="preserve"> </v>
      </c>
      <c r="F103" s="216"/>
      <c r="G103" s="216" t="str">
        <f t="shared" si="4"/>
        <v xml:space="preserve"> </v>
      </c>
      <c r="H103" s="27" t="str">
        <f>IF('E-Mixed'!A103&lt;'Adj-Mixed'!$B$10,'E-Mixed'!I103," ")</f>
        <v xml:space="preserve"> </v>
      </c>
      <c r="I103" s="217" t="str">
        <f>IF('E-Mixed'!A103&lt;'Adj-Mixed'!$B$10,'E-Mixed'!A103," ")</f>
        <v xml:space="preserve"> </v>
      </c>
      <c r="J103" s="25" t="str">
        <f>IF('E-Mixed'!A103&lt;'Adj-Mixed'!$B$10,'E-Mixed'!J103," ")</f>
        <v xml:space="preserve"> </v>
      </c>
      <c r="K103" s="27" t="str">
        <f>IF('E-Mixed'!A103&lt;'Adj-Mixed'!$B$10,'E-Mixed'!N103," ")</f>
        <v xml:space="preserve"> </v>
      </c>
      <c r="L103" s="26" t="str">
        <f>IF('E-Mixed'!A103&lt;'Adj-Mixed'!$B$10,'E-Mixed'!K103," ")</f>
        <v xml:space="preserve"> </v>
      </c>
      <c r="M103" s="30" t="str">
        <f>IF('E-Mixed'!A103&lt;'Adj-Mixed'!$B$10,'E-Mixed'!M103," ")</f>
        <v xml:space="preserve"> </v>
      </c>
      <c r="N103" t="str">
        <f>IF('E-Mixed'!A103&lt;'Adj-Mixed'!$B$10,1/L103," ")</f>
        <v xml:space="preserve"> </v>
      </c>
      <c r="O103" s="19"/>
      <c r="P103" t="str">
        <f t="shared" si="6"/>
        <v/>
      </c>
      <c r="Q103" t="str">
        <f t="shared" si="7"/>
        <v/>
      </c>
      <c r="R103" s="100" t="str">
        <f t="shared" si="5"/>
        <v/>
      </c>
    </row>
    <row r="104" spans="1:18" x14ac:dyDescent="0.25">
      <c r="A104" s="27" t="str">
        <f>IF('E-Mixed'!A104&lt;'Adj-Mixed'!$B$10,'E-Mixed'!B104," ")</f>
        <v xml:space="preserve"> </v>
      </c>
      <c r="B104" s="217" t="str">
        <f>IF('E-Mixed'!A104&lt;'Adj-Mixed'!$B$10,'E-Mixed'!A104," ")</f>
        <v xml:space="preserve"> </v>
      </c>
      <c r="C104" s="25" t="str">
        <f>IF('E-Mixed'!A104&lt;'Adj-Mixed'!$B$10,'E-Mixed'!C104," ")</f>
        <v xml:space="preserve"> </v>
      </c>
      <c r="D104" s="27" t="str">
        <f>IF('E-Mixed'!A104&lt;'Adj-Mixed'!$B$10,'E-Mixed'!G104," ")</f>
        <v xml:space="preserve"> </v>
      </c>
      <c r="E104" s="26" t="str">
        <f>IF('E-Mixed'!A104&lt;'Adj-Mixed'!$B$10,'E-Mixed'!D104," ")</f>
        <v xml:space="preserve"> </v>
      </c>
      <c r="F104" s="216"/>
      <c r="G104" s="216" t="str">
        <f t="shared" si="4"/>
        <v xml:space="preserve"> </v>
      </c>
      <c r="H104" s="27" t="str">
        <f>IF('E-Mixed'!A104&lt;'Adj-Mixed'!$B$10,'E-Mixed'!I104," ")</f>
        <v xml:space="preserve"> </v>
      </c>
      <c r="I104" s="217" t="str">
        <f>IF('E-Mixed'!A104&lt;'Adj-Mixed'!$B$10,'E-Mixed'!A104," ")</f>
        <v xml:space="preserve"> </v>
      </c>
      <c r="J104" s="25" t="str">
        <f>IF('E-Mixed'!A104&lt;'Adj-Mixed'!$B$10,'E-Mixed'!J104," ")</f>
        <v xml:space="preserve"> </v>
      </c>
      <c r="K104" s="27" t="str">
        <f>IF('E-Mixed'!A104&lt;'Adj-Mixed'!$B$10,'E-Mixed'!N104," ")</f>
        <v xml:space="preserve"> </v>
      </c>
      <c r="L104" s="26" t="str">
        <f>IF('E-Mixed'!A104&lt;'Adj-Mixed'!$B$10,'E-Mixed'!K104," ")</f>
        <v xml:space="preserve"> </v>
      </c>
      <c r="M104" s="30" t="str">
        <f>IF('E-Mixed'!A104&lt;'Adj-Mixed'!$B$10,'E-Mixed'!M104," ")</f>
        <v xml:space="preserve"> </v>
      </c>
      <c r="N104" t="str">
        <f>IF('E-Mixed'!A104&lt;'Adj-Mixed'!$B$10,1/L104," ")</f>
        <v xml:space="preserve"> </v>
      </c>
      <c r="O104" s="19"/>
      <c r="P104" t="str">
        <f t="shared" si="6"/>
        <v/>
      </c>
      <c r="Q104" t="str">
        <f t="shared" si="7"/>
        <v/>
      </c>
      <c r="R104" s="100" t="str">
        <f t="shared" si="5"/>
        <v/>
      </c>
    </row>
    <row r="105" spans="1:18" x14ac:dyDescent="0.25">
      <c r="A105" s="27" t="str">
        <f>IF('E-Mixed'!A105&lt;'Adj-Mixed'!$B$10,'E-Mixed'!B105," ")</f>
        <v xml:space="preserve"> </v>
      </c>
      <c r="B105" s="217" t="str">
        <f>IF('E-Mixed'!A105&lt;'Adj-Mixed'!$B$10,'E-Mixed'!A105," ")</f>
        <v xml:space="preserve"> </v>
      </c>
      <c r="C105" s="25" t="str">
        <f>IF('E-Mixed'!A105&lt;'Adj-Mixed'!$B$10,'E-Mixed'!C105," ")</f>
        <v xml:space="preserve"> </v>
      </c>
      <c r="D105" s="27" t="str">
        <f>IF('E-Mixed'!A105&lt;'Adj-Mixed'!$B$10,'E-Mixed'!G105," ")</f>
        <v xml:space="preserve"> </v>
      </c>
      <c r="E105" s="26" t="str">
        <f>IF('E-Mixed'!A105&lt;'Adj-Mixed'!$B$10,'E-Mixed'!D105," ")</f>
        <v xml:space="preserve"> </v>
      </c>
      <c r="F105" s="216"/>
      <c r="G105" s="216" t="str">
        <f t="shared" si="4"/>
        <v xml:space="preserve"> </v>
      </c>
      <c r="H105" s="27" t="str">
        <f>IF('E-Mixed'!A105&lt;'Adj-Mixed'!$B$10,'E-Mixed'!I105," ")</f>
        <v xml:space="preserve"> </v>
      </c>
      <c r="I105" s="217" t="str">
        <f>IF('E-Mixed'!A105&lt;'Adj-Mixed'!$B$10,'E-Mixed'!A105," ")</f>
        <v xml:space="preserve"> </v>
      </c>
      <c r="J105" s="25" t="str">
        <f>IF('E-Mixed'!A105&lt;'Adj-Mixed'!$B$10,'E-Mixed'!J105," ")</f>
        <v xml:space="preserve"> </v>
      </c>
      <c r="K105" s="27" t="str">
        <f>IF('E-Mixed'!A105&lt;'Adj-Mixed'!$B$10,'E-Mixed'!N105," ")</f>
        <v xml:space="preserve"> </v>
      </c>
      <c r="L105" s="26" t="str">
        <f>IF('E-Mixed'!A105&lt;'Adj-Mixed'!$B$10,'E-Mixed'!K105," ")</f>
        <v xml:space="preserve"> </v>
      </c>
      <c r="M105" s="30" t="str">
        <f>IF('E-Mixed'!A105&lt;'Adj-Mixed'!$B$10,'E-Mixed'!M105," ")</f>
        <v xml:space="preserve"> </v>
      </c>
      <c r="N105" t="str">
        <f>IF('E-Mixed'!A105&lt;'Adj-Mixed'!$B$10,1/L105," ")</f>
        <v xml:space="preserve"> </v>
      </c>
      <c r="O105" s="19"/>
      <c r="P105" t="str">
        <f t="shared" si="6"/>
        <v/>
      </c>
      <c r="Q105" t="str">
        <f t="shared" si="7"/>
        <v/>
      </c>
      <c r="R105" s="100" t="str">
        <f t="shared" si="5"/>
        <v/>
      </c>
    </row>
    <row r="106" spans="1:18" x14ac:dyDescent="0.25">
      <c r="A106" s="27" t="str">
        <f>IF('E-Mixed'!A106&lt;'Adj-Mixed'!$B$10,'E-Mixed'!B106," ")</f>
        <v xml:space="preserve"> </v>
      </c>
      <c r="B106" s="217" t="str">
        <f>IF('E-Mixed'!A106&lt;'Adj-Mixed'!$B$10,'E-Mixed'!A106," ")</f>
        <v xml:space="preserve"> </v>
      </c>
      <c r="C106" s="25" t="str">
        <f>IF('E-Mixed'!A106&lt;'Adj-Mixed'!$B$10,'E-Mixed'!C106," ")</f>
        <v xml:space="preserve"> </v>
      </c>
      <c r="D106" s="27" t="str">
        <f>IF('E-Mixed'!A106&lt;'Adj-Mixed'!$B$10,'E-Mixed'!G106," ")</f>
        <v xml:space="preserve"> </v>
      </c>
      <c r="E106" s="26" t="str">
        <f>IF('E-Mixed'!A106&lt;'Adj-Mixed'!$B$10,'E-Mixed'!D106," ")</f>
        <v xml:space="preserve"> </v>
      </c>
      <c r="F106" s="216"/>
      <c r="G106" s="216" t="str">
        <f t="shared" si="4"/>
        <v xml:space="preserve"> </v>
      </c>
      <c r="H106" s="27" t="str">
        <f>IF('E-Mixed'!A106&lt;'Adj-Mixed'!$B$10,'E-Mixed'!I106," ")</f>
        <v xml:space="preserve"> </v>
      </c>
      <c r="I106" s="217" t="str">
        <f>IF('E-Mixed'!A106&lt;'Adj-Mixed'!$B$10,'E-Mixed'!A106," ")</f>
        <v xml:space="preserve"> </v>
      </c>
      <c r="J106" s="25" t="str">
        <f>IF('E-Mixed'!A106&lt;'Adj-Mixed'!$B$10,'E-Mixed'!J106," ")</f>
        <v xml:space="preserve"> </v>
      </c>
      <c r="K106" s="27" t="str">
        <f>IF('E-Mixed'!A106&lt;'Adj-Mixed'!$B$10,'E-Mixed'!N106," ")</f>
        <v xml:space="preserve"> </v>
      </c>
      <c r="L106" s="26" t="str">
        <f>IF('E-Mixed'!A106&lt;'Adj-Mixed'!$B$10,'E-Mixed'!K106," ")</f>
        <v xml:space="preserve"> </v>
      </c>
      <c r="M106" s="30" t="str">
        <f>IF('E-Mixed'!A106&lt;'Adj-Mixed'!$B$10,'E-Mixed'!M106," ")</f>
        <v xml:space="preserve"> </v>
      </c>
      <c r="N106" t="str">
        <f>IF('E-Mixed'!A106&lt;'Adj-Mixed'!$B$10,1/L106," ")</f>
        <v xml:space="preserve"> </v>
      </c>
      <c r="O106" s="19"/>
      <c r="P106" t="str">
        <f t="shared" si="6"/>
        <v/>
      </c>
      <c r="Q106" t="str">
        <f t="shared" si="7"/>
        <v/>
      </c>
      <c r="R106" s="100" t="str">
        <f t="shared" si="5"/>
        <v/>
      </c>
    </row>
    <row r="107" spans="1:18" x14ac:dyDescent="0.25">
      <c r="A107" s="27" t="str">
        <f>IF('E-Mixed'!A107&lt;'Adj-Mixed'!$B$10,'E-Mixed'!B107," ")</f>
        <v xml:space="preserve"> </v>
      </c>
      <c r="B107" s="217" t="str">
        <f>IF('E-Mixed'!A107&lt;'Adj-Mixed'!$B$10,'E-Mixed'!A107," ")</f>
        <v xml:space="preserve"> </v>
      </c>
      <c r="C107" s="25" t="str">
        <f>IF('E-Mixed'!A107&lt;'Adj-Mixed'!$B$10,'E-Mixed'!C107," ")</f>
        <v xml:space="preserve"> </v>
      </c>
      <c r="D107" s="27" t="str">
        <f>IF('E-Mixed'!A107&lt;'Adj-Mixed'!$B$10,'E-Mixed'!G107," ")</f>
        <v xml:space="preserve"> </v>
      </c>
      <c r="E107" s="26" t="str">
        <f>IF('E-Mixed'!A107&lt;'Adj-Mixed'!$B$10,'E-Mixed'!D107," ")</f>
        <v xml:space="preserve"> </v>
      </c>
      <c r="F107" s="216"/>
      <c r="G107" s="216" t="str">
        <f t="shared" si="4"/>
        <v xml:space="preserve"> </v>
      </c>
      <c r="H107" s="27" t="str">
        <f>IF('E-Mixed'!A107&lt;'Adj-Mixed'!$B$10,'E-Mixed'!I107," ")</f>
        <v xml:space="preserve"> </v>
      </c>
      <c r="I107" s="217" t="str">
        <f>IF('E-Mixed'!A107&lt;'Adj-Mixed'!$B$10,'E-Mixed'!A107," ")</f>
        <v xml:space="preserve"> </v>
      </c>
      <c r="J107" s="25" t="str">
        <f>IF('E-Mixed'!A107&lt;'Adj-Mixed'!$B$10,'E-Mixed'!J107," ")</f>
        <v xml:space="preserve"> </v>
      </c>
      <c r="K107" s="27" t="str">
        <f>IF('E-Mixed'!A107&lt;'Adj-Mixed'!$B$10,'E-Mixed'!N107," ")</f>
        <v xml:space="preserve"> </v>
      </c>
      <c r="L107" s="26" t="str">
        <f>IF('E-Mixed'!A107&lt;'Adj-Mixed'!$B$10,'E-Mixed'!K107," ")</f>
        <v xml:space="preserve"> </v>
      </c>
      <c r="M107" s="30" t="str">
        <f>IF('E-Mixed'!A107&lt;'Adj-Mixed'!$B$10,'E-Mixed'!M107," ")</f>
        <v xml:space="preserve"> </v>
      </c>
      <c r="N107" t="str">
        <f>IF('E-Mixed'!A107&lt;'Adj-Mixed'!$B$10,1/L107," ")</f>
        <v xml:space="preserve"> </v>
      </c>
      <c r="O107" s="19"/>
      <c r="P107" t="str">
        <f t="shared" si="6"/>
        <v/>
      </c>
      <c r="Q107" t="str">
        <f t="shared" si="7"/>
        <v/>
      </c>
      <c r="R107" s="100" t="str">
        <f t="shared" si="5"/>
        <v/>
      </c>
    </row>
    <row r="108" spans="1:18" x14ac:dyDescent="0.25">
      <c r="A108" s="27" t="str">
        <f>IF('E-Mixed'!A108&lt;'Adj-Mixed'!$B$10,'E-Mixed'!B108," ")</f>
        <v xml:space="preserve"> </v>
      </c>
      <c r="B108" s="217" t="str">
        <f>IF('E-Mixed'!A108&lt;'Adj-Mixed'!$B$10,'E-Mixed'!A108," ")</f>
        <v xml:space="preserve"> </v>
      </c>
      <c r="C108" s="25" t="str">
        <f>IF('E-Mixed'!A108&lt;'Adj-Mixed'!$B$10,'E-Mixed'!C108," ")</f>
        <v xml:space="preserve"> </v>
      </c>
      <c r="D108" s="27" t="str">
        <f>IF('E-Mixed'!A108&lt;'Adj-Mixed'!$B$10,'E-Mixed'!G108," ")</f>
        <v xml:space="preserve"> </v>
      </c>
      <c r="E108" s="26" t="str">
        <f>IF('E-Mixed'!A108&lt;'Adj-Mixed'!$B$10,'E-Mixed'!D108," ")</f>
        <v xml:space="preserve"> </v>
      </c>
      <c r="F108" s="216"/>
      <c r="G108" s="216" t="str">
        <f t="shared" si="4"/>
        <v xml:space="preserve"> </v>
      </c>
      <c r="H108" s="27" t="str">
        <f>IF('E-Mixed'!A108&lt;'Adj-Mixed'!$B$10,'E-Mixed'!I108," ")</f>
        <v xml:space="preserve"> </v>
      </c>
      <c r="I108" s="217" t="str">
        <f>IF('E-Mixed'!A108&lt;'Adj-Mixed'!$B$10,'E-Mixed'!A108," ")</f>
        <v xml:space="preserve"> </v>
      </c>
      <c r="J108" s="25" t="str">
        <f>IF('E-Mixed'!A108&lt;'Adj-Mixed'!$B$10,'E-Mixed'!J108," ")</f>
        <v xml:space="preserve"> </v>
      </c>
      <c r="K108" s="27" t="str">
        <f>IF('E-Mixed'!A108&lt;'Adj-Mixed'!$B$10,'E-Mixed'!N108," ")</f>
        <v xml:space="preserve"> </v>
      </c>
      <c r="L108" s="26" t="str">
        <f>IF('E-Mixed'!A108&lt;'Adj-Mixed'!$B$10,'E-Mixed'!K108," ")</f>
        <v xml:space="preserve"> </v>
      </c>
      <c r="M108" s="30" t="str">
        <f>IF('E-Mixed'!A108&lt;'Adj-Mixed'!$B$10,'E-Mixed'!M108," ")</f>
        <v xml:space="preserve"> </v>
      </c>
      <c r="N108" t="str">
        <f>IF('E-Mixed'!A108&lt;'Adj-Mixed'!$B$10,1/L108," ")</f>
        <v xml:space="preserve"> </v>
      </c>
      <c r="O108" s="19"/>
      <c r="P108" t="str">
        <f t="shared" si="6"/>
        <v/>
      </c>
      <c r="Q108" t="str">
        <f t="shared" si="7"/>
        <v/>
      </c>
      <c r="R108" s="100" t="str">
        <f t="shared" si="5"/>
        <v/>
      </c>
    </row>
    <row r="109" spans="1:18" x14ac:dyDescent="0.25">
      <c r="A109" s="27" t="str">
        <f>IF('E-Mixed'!A109&lt;'Adj-Mixed'!$B$10,'E-Mixed'!B109," ")</f>
        <v xml:space="preserve"> </v>
      </c>
      <c r="B109" s="217" t="str">
        <f>IF('E-Mixed'!A109&lt;'Adj-Mixed'!$B$10,'E-Mixed'!A109," ")</f>
        <v xml:space="preserve"> </v>
      </c>
      <c r="C109" s="25" t="str">
        <f>IF('E-Mixed'!A109&lt;'Adj-Mixed'!$B$10,'E-Mixed'!C109," ")</f>
        <v xml:space="preserve"> </v>
      </c>
      <c r="D109" s="27" t="str">
        <f>IF('E-Mixed'!A109&lt;'Adj-Mixed'!$B$10,'E-Mixed'!G109," ")</f>
        <v xml:space="preserve"> </v>
      </c>
      <c r="E109" s="26" t="str">
        <f>IF('E-Mixed'!A109&lt;'Adj-Mixed'!$B$10,'E-Mixed'!D109," ")</f>
        <v xml:space="preserve"> </v>
      </c>
      <c r="F109" s="216"/>
      <c r="G109" s="216" t="str">
        <f t="shared" si="4"/>
        <v xml:space="preserve"> </v>
      </c>
      <c r="H109" s="27" t="str">
        <f>IF('E-Mixed'!A109&lt;'Adj-Mixed'!$B$10,'E-Mixed'!I109," ")</f>
        <v xml:space="preserve"> </v>
      </c>
      <c r="I109" s="217" t="str">
        <f>IF('E-Mixed'!A109&lt;'Adj-Mixed'!$B$10,'E-Mixed'!A109," ")</f>
        <v xml:space="preserve"> </v>
      </c>
      <c r="J109" s="25" t="str">
        <f>IF('E-Mixed'!A109&lt;'Adj-Mixed'!$B$10,'E-Mixed'!J109," ")</f>
        <v xml:space="preserve"> </v>
      </c>
      <c r="K109" s="27" t="str">
        <f>IF('E-Mixed'!A109&lt;'Adj-Mixed'!$B$10,'E-Mixed'!N109," ")</f>
        <v xml:space="preserve"> </v>
      </c>
      <c r="L109" s="26" t="str">
        <f>IF('E-Mixed'!A109&lt;'Adj-Mixed'!$B$10,'E-Mixed'!K109," ")</f>
        <v xml:space="preserve"> </v>
      </c>
      <c r="M109" s="30" t="str">
        <f>IF('E-Mixed'!A109&lt;'Adj-Mixed'!$B$10,'E-Mixed'!M109," ")</f>
        <v xml:space="preserve"> </v>
      </c>
      <c r="N109" t="str">
        <f>IF('E-Mixed'!A109&lt;'Adj-Mixed'!$B$10,1/L109," ")</f>
        <v xml:space="preserve"> </v>
      </c>
      <c r="O109" s="19"/>
      <c r="P109" t="str">
        <f t="shared" si="6"/>
        <v/>
      </c>
      <c r="Q109" t="str">
        <f t="shared" si="7"/>
        <v/>
      </c>
      <c r="R109" s="100" t="str">
        <f t="shared" si="5"/>
        <v/>
      </c>
    </row>
    <row r="110" spans="1:18" x14ac:dyDescent="0.25">
      <c r="A110" s="27" t="str">
        <f>IF('E-Mixed'!A110&lt;'Adj-Mixed'!$B$10,'E-Mixed'!B110," ")</f>
        <v xml:space="preserve"> </v>
      </c>
      <c r="B110" s="217" t="str">
        <f>IF('E-Mixed'!A110&lt;'Adj-Mixed'!$B$10,'E-Mixed'!A110," ")</f>
        <v xml:space="preserve"> </v>
      </c>
      <c r="C110" s="25" t="str">
        <f>IF('E-Mixed'!A110&lt;'Adj-Mixed'!$B$10,'E-Mixed'!C110," ")</f>
        <v xml:space="preserve"> </v>
      </c>
      <c r="D110" s="27" t="str">
        <f>IF('E-Mixed'!A110&lt;'Adj-Mixed'!$B$10,'E-Mixed'!G110," ")</f>
        <v xml:space="preserve"> </v>
      </c>
      <c r="E110" s="26" t="str">
        <f>IF('E-Mixed'!A110&lt;'Adj-Mixed'!$B$10,'E-Mixed'!D110," ")</f>
        <v xml:space="preserve"> </v>
      </c>
      <c r="F110" s="216"/>
      <c r="G110" s="216" t="str">
        <f t="shared" si="4"/>
        <v xml:space="preserve"> </v>
      </c>
      <c r="H110" s="27" t="str">
        <f>IF('E-Mixed'!A110&lt;'Adj-Mixed'!$B$10,'E-Mixed'!I110," ")</f>
        <v xml:space="preserve"> </v>
      </c>
      <c r="I110" s="217" t="str">
        <f>IF('E-Mixed'!A110&lt;'Adj-Mixed'!$B$10,'E-Mixed'!A110," ")</f>
        <v xml:space="preserve"> </v>
      </c>
      <c r="J110" s="25" t="str">
        <f>IF('E-Mixed'!A110&lt;'Adj-Mixed'!$B$10,'E-Mixed'!J110," ")</f>
        <v xml:space="preserve"> </v>
      </c>
      <c r="K110" s="27" t="str">
        <f>IF('E-Mixed'!A110&lt;'Adj-Mixed'!$B$10,'E-Mixed'!N110," ")</f>
        <v xml:space="preserve"> </v>
      </c>
      <c r="L110" s="26" t="str">
        <f>IF('E-Mixed'!A110&lt;'Adj-Mixed'!$B$10,'E-Mixed'!K110," ")</f>
        <v xml:space="preserve"> </v>
      </c>
      <c r="M110" s="30" t="str">
        <f>IF('E-Mixed'!A110&lt;'Adj-Mixed'!$B$10,'E-Mixed'!M110," ")</f>
        <v xml:space="preserve"> </v>
      </c>
      <c r="N110" t="str">
        <f>IF('E-Mixed'!A110&lt;'Adj-Mixed'!$B$10,1/L110," ")</f>
        <v xml:space="preserve"> </v>
      </c>
      <c r="O110" s="19"/>
      <c r="P110" t="str">
        <f t="shared" si="6"/>
        <v/>
      </c>
      <c r="Q110" t="str">
        <f t="shared" si="7"/>
        <v/>
      </c>
      <c r="R110" s="100" t="str">
        <f t="shared" si="5"/>
        <v/>
      </c>
    </row>
    <row r="111" spans="1:18" x14ac:dyDescent="0.25">
      <c r="A111" s="27" t="str">
        <f>IF('E-Mixed'!A111&lt;'Adj-Mixed'!$B$10,'E-Mixed'!B111," ")</f>
        <v xml:space="preserve"> </v>
      </c>
      <c r="B111" s="217" t="str">
        <f>IF('E-Mixed'!A111&lt;'Adj-Mixed'!$B$10,'E-Mixed'!A111," ")</f>
        <v xml:space="preserve"> </v>
      </c>
      <c r="C111" s="25" t="str">
        <f>IF('E-Mixed'!A111&lt;'Adj-Mixed'!$B$10,'E-Mixed'!C111," ")</f>
        <v xml:space="preserve"> </v>
      </c>
      <c r="D111" s="27" t="str">
        <f>IF('E-Mixed'!A111&lt;'Adj-Mixed'!$B$10,'E-Mixed'!G111," ")</f>
        <v xml:space="preserve"> </v>
      </c>
      <c r="E111" s="26" t="str">
        <f>IF('E-Mixed'!A111&lt;'Adj-Mixed'!$B$10,'E-Mixed'!D111," ")</f>
        <v xml:space="preserve"> </v>
      </c>
      <c r="F111" s="216"/>
      <c r="G111" s="216" t="str">
        <f t="shared" si="4"/>
        <v xml:space="preserve"> </v>
      </c>
      <c r="H111" s="27" t="str">
        <f>IF('E-Mixed'!A111&lt;'Adj-Mixed'!$B$10,'E-Mixed'!I111," ")</f>
        <v xml:space="preserve"> </v>
      </c>
      <c r="I111" s="217" t="str">
        <f>IF('E-Mixed'!A111&lt;'Adj-Mixed'!$B$10,'E-Mixed'!A111," ")</f>
        <v xml:space="preserve"> </v>
      </c>
      <c r="J111" s="25" t="str">
        <f>IF('E-Mixed'!A111&lt;'Adj-Mixed'!$B$10,'E-Mixed'!J111," ")</f>
        <v xml:space="preserve"> </v>
      </c>
      <c r="K111" s="27" t="str">
        <f>IF('E-Mixed'!A111&lt;'Adj-Mixed'!$B$10,'E-Mixed'!N111," ")</f>
        <v xml:space="preserve"> </v>
      </c>
      <c r="L111" s="26" t="str">
        <f>IF('E-Mixed'!A111&lt;'Adj-Mixed'!$B$10,'E-Mixed'!K111," ")</f>
        <v xml:space="preserve"> </v>
      </c>
      <c r="M111" s="30" t="str">
        <f>IF('E-Mixed'!A111&lt;'Adj-Mixed'!$B$10,'E-Mixed'!M111," ")</f>
        <v xml:space="preserve"> </v>
      </c>
      <c r="N111" t="str">
        <f>IF('E-Mixed'!A111&lt;'Adj-Mixed'!$B$10,1/L111," ")</f>
        <v xml:space="preserve"> </v>
      </c>
      <c r="O111" s="19"/>
      <c r="P111" t="str">
        <f t="shared" si="6"/>
        <v/>
      </c>
      <c r="Q111" t="str">
        <f t="shared" si="7"/>
        <v/>
      </c>
      <c r="R111" s="100" t="str">
        <f t="shared" si="5"/>
        <v/>
      </c>
    </row>
    <row r="112" spans="1:18" x14ac:dyDescent="0.25">
      <c r="A112" s="27" t="str">
        <f>IF('E-Mixed'!A112&lt;'Adj-Mixed'!$B$10,'E-Mixed'!B112," ")</f>
        <v xml:space="preserve"> </v>
      </c>
      <c r="B112" s="217" t="str">
        <f>IF('E-Mixed'!A112&lt;'Adj-Mixed'!$B$10,'E-Mixed'!A112," ")</f>
        <v xml:space="preserve"> </v>
      </c>
      <c r="C112" s="25" t="str">
        <f>IF('E-Mixed'!A112&lt;'Adj-Mixed'!$B$10,'E-Mixed'!C112," ")</f>
        <v xml:space="preserve"> </v>
      </c>
      <c r="D112" s="27" t="str">
        <f>IF('E-Mixed'!A112&lt;'Adj-Mixed'!$B$10,'E-Mixed'!G112," ")</f>
        <v xml:space="preserve"> </v>
      </c>
      <c r="E112" s="26" t="str">
        <f>IF('E-Mixed'!A112&lt;'Adj-Mixed'!$B$10,'E-Mixed'!D112," ")</f>
        <v xml:space="preserve"> </v>
      </c>
      <c r="F112" s="216"/>
      <c r="G112" s="216" t="str">
        <f t="shared" si="4"/>
        <v xml:space="preserve"> </v>
      </c>
      <c r="H112" s="27" t="str">
        <f>IF('E-Mixed'!A112&lt;'Adj-Mixed'!$B$10,'E-Mixed'!I112," ")</f>
        <v xml:space="preserve"> </v>
      </c>
      <c r="I112" s="217" t="str">
        <f>IF('E-Mixed'!A112&lt;'Adj-Mixed'!$B$10,'E-Mixed'!A112," ")</f>
        <v xml:space="preserve"> </v>
      </c>
      <c r="J112" s="25" t="str">
        <f>IF('E-Mixed'!A112&lt;'Adj-Mixed'!$B$10,'E-Mixed'!J112," ")</f>
        <v xml:space="preserve"> </v>
      </c>
      <c r="K112" s="27" t="str">
        <f>IF('E-Mixed'!A112&lt;'Adj-Mixed'!$B$10,'E-Mixed'!N112," ")</f>
        <v xml:space="preserve"> </v>
      </c>
      <c r="L112" s="26" t="str">
        <f>IF('E-Mixed'!A112&lt;'Adj-Mixed'!$B$10,'E-Mixed'!K112," ")</f>
        <v xml:space="preserve"> </v>
      </c>
      <c r="M112" s="30" t="str">
        <f>IF('E-Mixed'!A112&lt;'Adj-Mixed'!$B$10,'E-Mixed'!M112," ")</f>
        <v xml:space="preserve"> </v>
      </c>
      <c r="N112" t="str">
        <f>IF('E-Mixed'!A112&lt;'Adj-Mixed'!$B$10,1/L112," ")</f>
        <v xml:space="preserve"> </v>
      </c>
      <c r="O112" s="19"/>
      <c r="P112" t="str">
        <f t="shared" si="6"/>
        <v/>
      </c>
      <c r="Q112" t="str">
        <f t="shared" si="7"/>
        <v/>
      </c>
      <c r="R112" s="100" t="str">
        <f t="shared" si="5"/>
        <v/>
      </c>
    </row>
    <row r="113" spans="1:18" x14ac:dyDescent="0.25">
      <c r="A113" s="27" t="str">
        <f>IF('E-Mixed'!A113&lt;'Adj-Mixed'!$B$10,'E-Mixed'!B113," ")</f>
        <v xml:space="preserve"> </v>
      </c>
      <c r="B113" s="217" t="str">
        <f>IF('E-Mixed'!A113&lt;'Adj-Mixed'!$B$10,'E-Mixed'!A113," ")</f>
        <v xml:space="preserve"> </v>
      </c>
      <c r="C113" s="25" t="str">
        <f>IF('E-Mixed'!A113&lt;'Adj-Mixed'!$B$10,'E-Mixed'!C113," ")</f>
        <v xml:space="preserve"> </v>
      </c>
      <c r="D113" s="27" t="str">
        <f>IF('E-Mixed'!A113&lt;'Adj-Mixed'!$B$10,'E-Mixed'!G113," ")</f>
        <v xml:space="preserve"> </v>
      </c>
      <c r="E113" s="26" t="str">
        <f>IF('E-Mixed'!A113&lt;'Adj-Mixed'!$B$10,'E-Mixed'!D113," ")</f>
        <v xml:space="preserve"> </v>
      </c>
      <c r="F113" s="216"/>
      <c r="G113" s="216" t="str">
        <f t="shared" si="4"/>
        <v xml:space="preserve"> </v>
      </c>
      <c r="H113" s="27" t="str">
        <f>IF('E-Mixed'!A113&lt;'Adj-Mixed'!$B$10,'E-Mixed'!I113," ")</f>
        <v xml:space="preserve"> </v>
      </c>
      <c r="I113" s="217" t="str">
        <f>IF('E-Mixed'!A113&lt;'Adj-Mixed'!$B$10,'E-Mixed'!A113," ")</f>
        <v xml:space="preserve"> </v>
      </c>
      <c r="J113" s="25" t="str">
        <f>IF('E-Mixed'!A113&lt;'Adj-Mixed'!$B$10,'E-Mixed'!J113," ")</f>
        <v xml:space="preserve"> </v>
      </c>
      <c r="K113" s="27" t="str">
        <f>IF('E-Mixed'!A113&lt;'Adj-Mixed'!$B$10,'E-Mixed'!N113," ")</f>
        <v xml:space="preserve"> </v>
      </c>
      <c r="L113" s="26" t="str">
        <f>IF('E-Mixed'!A113&lt;'Adj-Mixed'!$B$10,'E-Mixed'!K113," ")</f>
        <v xml:space="preserve"> </v>
      </c>
      <c r="M113" s="30" t="str">
        <f>IF('E-Mixed'!A113&lt;'Adj-Mixed'!$B$10,'E-Mixed'!M113," ")</f>
        <v xml:space="preserve"> </v>
      </c>
      <c r="N113" t="str">
        <f>IF('E-Mixed'!A113&lt;'Adj-Mixed'!$B$10,1/L113," ")</f>
        <v xml:space="preserve"> </v>
      </c>
      <c r="O113" s="19"/>
      <c r="P113" t="str">
        <f t="shared" si="6"/>
        <v/>
      </c>
      <c r="Q113" t="str">
        <f t="shared" si="7"/>
        <v/>
      </c>
      <c r="R113" s="100" t="str">
        <f t="shared" si="5"/>
        <v/>
      </c>
    </row>
    <row r="114" spans="1:18" x14ac:dyDescent="0.25">
      <c r="A114" s="27" t="str">
        <f>IF('E-Mixed'!A114&lt;'Adj-Mixed'!$B$10,'E-Mixed'!B114," ")</f>
        <v xml:space="preserve"> </v>
      </c>
      <c r="B114" s="217" t="str">
        <f>IF('E-Mixed'!A114&lt;'Adj-Mixed'!$B$10,'E-Mixed'!A114," ")</f>
        <v xml:space="preserve"> </v>
      </c>
      <c r="C114" s="25" t="str">
        <f>IF('E-Mixed'!A114&lt;'Adj-Mixed'!$B$10,'E-Mixed'!C114," ")</f>
        <v xml:space="preserve"> </v>
      </c>
      <c r="D114" s="27" t="str">
        <f>IF('E-Mixed'!A114&lt;'Adj-Mixed'!$B$10,'E-Mixed'!G114," ")</f>
        <v xml:space="preserve"> </v>
      </c>
      <c r="E114" s="26" t="str">
        <f>IF('E-Mixed'!A114&lt;'Adj-Mixed'!$B$10,'E-Mixed'!D114," ")</f>
        <v xml:space="preserve"> </v>
      </c>
      <c r="F114" s="216"/>
      <c r="G114" s="216" t="str">
        <f t="shared" si="4"/>
        <v xml:space="preserve"> </v>
      </c>
      <c r="H114" s="27" t="str">
        <f>IF('E-Mixed'!A114&lt;'Adj-Mixed'!$B$10,'E-Mixed'!I114," ")</f>
        <v xml:space="preserve"> </v>
      </c>
      <c r="I114" s="217" t="str">
        <f>IF('E-Mixed'!A114&lt;'Adj-Mixed'!$B$10,'E-Mixed'!A114," ")</f>
        <v xml:space="preserve"> </v>
      </c>
      <c r="J114" s="25" t="str">
        <f>IF('E-Mixed'!A114&lt;'Adj-Mixed'!$B$10,'E-Mixed'!J114," ")</f>
        <v xml:space="preserve"> </v>
      </c>
      <c r="K114" s="27" t="str">
        <f>IF('E-Mixed'!A114&lt;'Adj-Mixed'!$B$10,'E-Mixed'!N114," ")</f>
        <v xml:space="preserve"> </v>
      </c>
      <c r="L114" s="26" t="str">
        <f>IF('E-Mixed'!A114&lt;'Adj-Mixed'!$B$10,'E-Mixed'!K114," ")</f>
        <v xml:space="preserve"> </v>
      </c>
      <c r="M114" s="30" t="str">
        <f>IF('E-Mixed'!A114&lt;'Adj-Mixed'!$B$10,'E-Mixed'!M114," ")</f>
        <v xml:space="preserve"> </v>
      </c>
      <c r="N114" t="str">
        <f>IF('E-Mixed'!A114&lt;'Adj-Mixed'!$B$10,1/L114," ")</f>
        <v xml:space="preserve"> </v>
      </c>
      <c r="O114" s="19"/>
      <c r="P114" t="str">
        <f t="shared" si="6"/>
        <v/>
      </c>
      <c r="Q114" t="str">
        <f t="shared" si="7"/>
        <v/>
      </c>
      <c r="R114" s="100" t="str">
        <f t="shared" si="5"/>
        <v/>
      </c>
    </row>
    <row r="115" spans="1:18" x14ac:dyDescent="0.25">
      <c r="A115" s="27" t="str">
        <f>IF('E-Mixed'!A115&lt;'Adj-Mixed'!$B$10,'E-Mixed'!B115," ")</f>
        <v xml:space="preserve"> </v>
      </c>
      <c r="B115" s="217" t="str">
        <f>IF('E-Mixed'!A115&lt;'Adj-Mixed'!$B$10,'E-Mixed'!A115," ")</f>
        <v xml:space="preserve"> </v>
      </c>
      <c r="C115" s="25" t="str">
        <f>IF('E-Mixed'!A115&lt;'Adj-Mixed'!$B$10,'E-Mixed'!C115," ")</f>
        <v xml:space="preserve"> </v>
      </c>
      <c r="D115" s="27" t="str">
        <f>IF('E-Mixed'!A115&lt;'Adj-Mixed'!$B$10,'E-Mixed'!G115," ")</f>
        <v xml:space="preserve"> </v>
      </c>
      <c r="E115" s="26" t="str">
        <f>IF('E-Mixed'!A115&lt;'Adj-Mixed'!$B$10,'E-Mixed'!D115," ")</f>
        <v xml:space="preserve"> </v>
      </c>
      <c r="F115" s="216"/>
      <c r="G115" s="216" t="str">
        <f t="shared" si="4"/>
        <v xml:space="preserve"> </v>
      </c>
      <c r="H115" s="27" t="str">
        <f>IF('E-Mixed'!A115&lt;'Adj-Mixed'!$B$10,'E-Mixed'!I115," ")</f>
        <v xml:space="preserve"> </v>
      </c>
      <c r="I115" s="217" t="str">
        <f>IF('E-Mixed'!A115&lt;'Adj-Mixed'!$B$10,'E-Mixed'!A115," ")</f>
        <v xml:space="preserve"> </v>
      </c>
      <c r="J115" s="25" t="str">
        <f>IF('E-Mixed'!A115&lt;'Adj-Mixed'!$B$10,'E-Mixed'!J115," ")</f>
        <v xml:space="preserve"> </v>
      </c>
      <c r="K115" s="27" t="str">
        <f>IF('E-Mixed'!A115&lt;'Adj-Mixed'!$B$10,'E-Mixed'!N115," ")</f>
        <v xml:space="preserve"> </v>
      </c>
      <c r="L115" s="26" t="str">
        <f>IF('E-Mixed'!A115&lt;'Adj-Mixed'!$B$10,'E-Mixed'!K115," ")</f>
        <v xml:space="preserve"> </v>
      </c>
      <c r="M115" s="30" t="str">
        <f>IF('E-Mixed'!A115&lt;'Adj-Mixed'!$B$10,'E-Mixed'!M115," ")</f>
        <v xml:space="preserve"> </v>
      </c>
      <c r="N115" t="str">
        <f>IF('E-Mixed'!A115&lt;'Adj-Mixed'!$B$10,1/L115," ")</f>
        <v xml:space="preserve"> </v>
      </c>
      <c r="O115" s="19"/>
      <c r="P115" t="str">
        <f t="shared" si="6"/>
        <v/>
      </c>
      <c r="Q115" t="str">
        <f t="shared" si="7"/>
        <v/>
      </c>
      <c r="R115" s="100" t="str">
        <f t="shared" si="5"/>
        <v/>
      </c>
    </row>
    <row r="116" spans="1:18" x14ac:dyDescent="0.25">
      <c r="A116" s="27" t="str">
        <f>IF('E-Mixed'!A116&lt;'Adj-Mixed'!$B$10,'E-Mixed'!B116," ")</f>
        <v xml:space="preserve"> </v>
      </c>
      <c r="B116" s="217" t="str">
        <f>IF('E-Mixed'!A116&lt;'Adj-Mixed'!$B$10,'E-Mixed'!A116," ")</f>
        <v xml:space="preserve"> </v>
      </c>
      <c r="C116" s="25" t="str">
        <f>IF('E-Mixed'!A116&lt;'Adj-Mixed'!$B$10,'E-Mixed'!C116," ")</f>
        <v xml:space="preserve"> </v>
      </c>
      <c r="D116" s="27" t="str">
        <f>IF('E-Mixed'!A116&lt;'Adj-Mixed'!$B$10,'E-Mixed'!G116," ")</f>
        <v xml:space="preserve"> </v>
      </c>
      <c r="E116" s="26" t="str">
        <f>IF('E-Mixed'!A116&lt;'Adj-Mixed'!$B$10,'E-Mixed'!D116," ")</f>
        <v xml:space="preserve"> </v>
      </c>
      <c r="F116" s="216"/>
      <c r="G116" s="216" t="str">
        <f t="shared" si="4"/>
        <v xml:space="preserve"> </v>
      </c>
      <c r="H116" s="27" t="str">
        <f>IF('E-Mixed'!A116&lt;'Adj-Mixed'!$B$10,'E-Mixed'!I116," ")</f>
        <v xml:space="preserve"> </v>
      </c>
      <c r="I116" s="217" t="str">
        <f>IF('E-Mixed'!A116&lt;'Adj-Mixed'!$B$10,'E-Mixed'!A116," ")</f>
        <v xml:space="preserve"> </v>
      </c>
      <c r="J116" s="25" t="str">
        <f>IF('E-Mixed'!A116&lt;'Adj-Mixed'!$B$10,'E-Mixed'!J116," ")</f>
        <v xml:space="preserve"> </v>
      </c>
      <c r="K116" s="27" t="str">
        <f>IF('E-Mixed'!A116&lt;'Adj-Mixed'!$B$10,'E-Mixed'!N116," ")</f>
        <v xml:space="preserve"> </v>
      </c>
      <c r="L116" s="26" t="str">
        <f>IF('E-Mixed'!A116&lt;'Adj-Mixed'!$B$10,'E-Mixed'!K116," ")</f>
        <v xml:space="preserve"> </v>
      </c>
      <c r="M116" s="30" t="str">
        <f>IF('E-Mixed'!A116&lt;'Adj-Mixed'!$B$10,'E-Mixed'!M116," ")</f>
        <v xml:space="preserve"> </v>
      </c>
      <c r="N116" t="str">
        <f>IF('E-Mixed'!A116&lt;'Adj-Mixed'!$B$10,1/L116," ")</f>
        <v xml:space="preserve"> </v>
      </c>
      <c r="O116" s="19"/>
      <c r="P116" t="str">
        <f t="shared" si="6"/>
        <v/>
      </c>
      <c r="Q116" t="str">
        <f t="shared" si="7"/>
        <v/>
      </c>
      <c r="R116" s="100" t="str">
        <f t="shared" si="5"/>
        <v/>
      </c>
    </row>
    <row r="117" spans="1:18" x14ac:dyDescent="0.25">
      <c r="A117" s="27" t="str">
        <f>IF('E-Mixed'!A117&lt;'Adj-Mixed'!$B$10,'E-Mixed'!B117," ")</f>
        <v xml:space="preserve"> </v>
      </c>
      <c r="B117" s="217" t="str">
        <f>IF('E-Mixed'!A117&lt;'Adj-Mixed'!$B$10,'E-Mixed'!A117," ")</f>
        <v xml:space="preserve"> </v>
      </c>
      <c r="C117" s="25" t="str">
        <f>IF('E-Mixed'!A117&lt;'Adj-Mixed'!$B$10,'E-Mixed'!C117," ")</f>
        <v xml:space="preserve"> </v>
      </c>
      <c r="D117" s="27" t="str">
        <f>IF('E-Mixed'!A117&lt;'Adj-Mixed'!$B$10,'E-Mixed'!G117," ")</f>
        <v xml:space="preserve"> </v>
      </c>
      <c r="E117" s="26" t="str">
        <f>IF('E-Mixed'!A117&lt;'Adj-Mixed'!$B$10,'E-Mixed'!D117," ")</f>
        <v xml:space="preserve"> </v>
      </c>
      <c r="F117" s="216"/>
      <c r="G117" s="216" t="str">
        <f t="shared" si="4"/>
        <v xml:space="preserve"> </v>
      </c>
      <c r="H117" s="27" t="str">
        <f>IF('E-Mixed'!A117&lt;'Adj-Mixed'!$B$10,'E-Mixed'!I117," ")</f>
        <v xml:space="preserve"> </v>
      </c>
      <c r="I117" s="217" t="str">
        <f>IF('E-Mixed'!A117&lt;'Adj-Mixed'!$B$10,'E-Mixed'!A117," ")</f>
        <v xml:space="preserve"> </v>
      </c>
      <c r="J117" s="25" t="str">
        <f>IF('E-Mixed'!A117&lt;'Adj-Mixed'!$B$10,'E-Mixed'!J117," ")</f>
        <v xml:space="preserve"> </v>
      </c>
      <c r="K117" s="27" t="str">
        <f>IF('E-Mixed'!A117&lt;'Adj-Mixed'!$B$10,'E-Mixed'!N117," ")</f>
        <v xml:space="preserve"> </v>
      </c>
      <c r="L117" s="26" t="str">
        <f>IF('E-Mixed'!A117&lt;'Adj-Mixed'!$B$10,'E-Mixed'!K117," ")</f>
        <v xml:space="preserve"> </v>
      </c>
      <c r="M117" s="30" t="str">
        <f>IF('E-Mixed'!A117&lt;'Adj-Mixed'!$B$10,'E-Mixed'!M117," ")</f>
        <v xml:space="preserve"> </v>
      </c>
      <c r="N117" t="str">
        <f>IF('E-Mixed'!A117&lt;'Adj-Mixed'!$B$10,1/L117," ")</f>
        <v xml:space="preserve"> </v>
      </c>
      <c r="O117" s="19"/>
      <c r="P117" t="str">
        <f t="shared" si="6"/>
        <v/>
      </c>
      <c r="Q117" t="str">
        <f t="shared" si="7"/>
        <v/>
      </c>
      <c r="R117" s="100" t="str">
        <f t="shared" si="5"/>
        <v/>
      </c>
    </row>
    <row r="118" spans="1:18" x14ac:dyDescent="0.25">
      <c r="A118" s="27" t="str">
        <f>IF('E-Mixed'!A118&lt;'Adj-Mixed'!$B$10,'E-Mixed'!B118," ")</f>
        <v xml:space="preserve"> </v>
      </c>
      <c r="B118" s="217" t="str">
        <f>IF('E-Mixed'!A118&lt;'Adj-Mixed'!$B$10,'E-Mixed'!A118," ")</f>
        <v xml:space="preserve"> </v>
      </c>
      <c r="C118" s="25" t="str">
        <f>IF('E-Mixed'!A118&lt;'Adj-Mixed'!$B$10,'E-Mixed'!C118," ")</f>
        <v xml:space="preserve"> </v>
      </c>
      <c r="D118" s="27" t="str">
        <f>IF('E-Mixed'!A118&lt;'Adj-Mixed'!$B$10,'E-Mixed'!G118," ")</f>
        <v xml:space="preserve"> </v>
      </c>
      <c r="E118" s="26" t="str">
        <f>IF('E-Mixed'!A118&lt;'Adj-Mixed'!$B$10,'E-Mixed'!D118," ")</f>
        <v xml:space="preserve"> </v>
      </c>
      <c r="F118" s="216"/>
      <c r="G118" s="216" t="str">
        <f t="shared" si="4"/>
        <v xml:space="preserve"> </v>
      </c>
      <c r="H118" s="27" t="str">
        <f>IF('E-Mixed'!A118&lt;'Adj-Mixed'!$B$10,'E-Mixed'!I118," ")</f>
        <v xml:space="preserve"> </v>
      </c>
      <c r="I118" s="217" t="str">
        <f>IF('E-Mixed'!A118&lt;'Adj-Mixed'!$B$10,'E-Mixed'!A118," ")</f>
        <v xml:space="preserve"> </v>
      </c>
      <c r="J118" s="25" t="str">
        <f>IF('E-Mixed'!A118&lt;'Adj-Mixed'!$B$10,'E-Mixed'!J118," ")</f>
        <v xml:space="preserve"> </v>
      </c>
      <c r="K118" s="27" t="str">
        <f>IF('E-Mixed'!A118&lt;'Adj-Mixed'!$B$10,'E-Mixed'!N118," ")</f>
        <v xml:space="preserve"> </v>
      </c>
      <c r="L118" s="26" t="str">
        <f>IF('E-Mixed'!A118&lt;'Adj-Mixed'!$B$10,'E-Mixed'!K118," ")</f>
        <v xml:space="preserve"> </v>
      </c>
      <c r="M118" s="30" t="str">
        <f>IF('E-Mixed'!A118&lt;'Adj-Mixed'!$B$10,'E-Mixed'!M118," ")</f>
        <v xml:space="preserve"> </v>
      </c>
      <c r="N118" t="str">
        <f>IF('E-Mixed'!A118&lt;'Adj-Mixed'!$B$10,1/L118," ")</f>
        <v xml:space="preserve"> </v>
      </c>
      <c r="O118" s="19"/>
      <c r="P118" t="str">
        <f t="shared" si="6"/>
        <v/>
      </c>
      <c r="Q118" t="str">
        <f t="shared" si="7"/>
        <v/>
      </c>
      <c r="R118" s="100" t="str">
        <f t="shared" si="5"/>
        <v/>
      </c>
    </row>
    <row r="119" spans="1:18" x14ac:dyDescent="0.25">
      <c r="A119" s="27" t="str">
        <f>IF('E-Mixed'!A119&lt;'Adj-Mixed'!$B$10,'E-Mixed'!B119," ")</f>
        <v xml:space="preserve"> </v>
      </c>
      <c r="B119" s="217" t="str">
        <f>IF('E-Mixed'!A119&lt;'Adj-Mixed'!$B$10,'E-Mixed'!A119," ")</f>
        <v xml:space="preserve"> </v>
      </c>
      <c r="C119" s="25" t="str">
        <f>IF('E-Mixed'!A119&lt;'Adj-Mixed'!$B$10,'E-Mixed'!C119," ")</f>
        <v xml:space="preserve"> </v>
      </c>
      <c r="D119" s="27" t="str">
        <f>IF('E-Mixed'!A119&lt;'Adj-Mixed'!$B$10,'E-Mixed'!G119," ")</f>
        <v xml:space="preserve"> </v>
      </c>
      <c r="E119" s="26" t="str">
        <f>IF('E-Mixed'!A119&lt;'Adj-Mixed'!$B$10,'E-Mixed'!D119," ")</f>
        <v xml:space="preserve"> </v>
      </c>
      <c r="F119" s="216"/>
      <c r="G119" s="216" t="str">
        <f t="shared" si="4"/>
        <v xml:space="preserve"> </v>
      </c>
      <c r="H119" s="27" t="str">
        <f>IF('E-Mixed'!A119&lt;'Adj-Mixed'!$B$10,'E-Mixed'!I119," ")</f>
        <v xml:space="preserve"> </v>
      </c>
      <c r="I119" s="217" t="str">
        <f>IF('E-Mixed'!A119&lt;'Adj-Mixed'!$B$10,'E-Mixed'!A119," ")</f>
        <v xml:space="preserve"> </v>
      </c>
      <c r="J119" s="25" t="str">
        <f>IF('E-Mixed'!A119&lt;'Adj-Mixed'!$B$10,'E-Mixed'!J119," ")</f>
        <v xml:space="preserve"> </v>
      </c>
      <c r="K119" s="27" t="str">
        <f>IF('E-Mixed'!A119&lt;'Adj-Mixed'!$B$10,'E-Mixed'!N119," ")</f>
        <v xml:space="preserve"> </v>
      </c>
      <c r="L119" s="26" t="str">
        <f>IF('E-Mixed'!A119&lt;'Adj-Mixed'!$B$10,'E-Mixed'!K119," ")</f>
        <v xml:space="preserve"> </v>
      </c>
      <c r="M119" s="30" t="str">
        <f>IF('E-Mixed'!A119&lt;'Adj-Mixed'!$B$10,'E-Mixed'!M119," ")</f>
        <v xml:space="preserve"> </v>
      </c>
      <c r="N119" t="str">
        <f>IF('E-Mixed'!A119&lt;'Adj-Mixed'!$B$10,1/L119," ")</f>
        <v xml:space="preserve"> </v>
      </c>
      <c r="O119" s="19"/>
      <c r="P119" t="str">
        <f t="shared" si="6"/>
        <v/>
      </c>
      <c r="Q119" t="str">
        <f t="shared" si="7"/>
        <v/>
      </c>
      <c r="R119" s="100" t="str">
        <f t="shared" si="5"/>
        <v/>
      </c>
    </row>
    <row r="120" spans="1:18" x14ac:dyDescent="0.25">
      <c r="A120" s="27" t="str">
        <f>IF('E-Mixed'!A120&lt;'Adj-Mixed'!$B$10,'E-Mixed'!B120," ")</f>
        <v xml:space="preserve"> </v>
      </c>
      <c r="B120" s="217" t="str">
        <f>IF('E-Mixed'!A120&lt;'Adj-Mixed'!$B$10,'E-Mixed'!A120," ")</f>
        <v xml:space="preserve"> </v>
      </c>
      <c r="C120" s="25" t="str">
        <f>IF('E-Mixed'!A120&lt;'Adj-Mixed'!$B$10,'E-Mixed'!C120," ")</f>
        <v xml:space="preserve"> </v>
      </c>
      <c r="D120" s="27" t="str">
        <f>IF('E-Mixed'!A120&lt;'Adj-Mixed'!$B$10,'E-Mixed'!G120," ")</f>
        <v xml:space="preserve"> </v>
      </c>
      <c r="E120" s="26" t="str">
        <f>IF('E-Mixed'!A120&lt;'Adj-Mixed'!$B$10,'E-Mixed'!D120," ")</f>
        <v xml:space="preserve"> </v>
      </c>
      <c r="F120" s="216"/>
      <c r="G120" s="216" t="str">
        <f t="shared" si="4"/>
        <v xml:space="preserve"> </v>
      </c>
      <c r="H120" s="27" t="str">
        <f>IF('E-Mixed'!A120&lt;'Adj-Mixed'!$B$10,'E-Mixed'!I120," ")</f>
        <v xml:space="preserve"> </v>
      </c>
      <c r="I120" s="217" t="str">
        <f>IF('E-Mixed'!A120&lt;'Adj-Mixed'!$B$10,'E-Mixed'!A120," ")</f>
        <v xml:space="preserve"> </v>
      </c>
      <c r="J120" s="25" t="str">
        <f>IF('E-Mixed'!A120&lt;'Adj-Mixed'!$B$10,'E-Mixed'!J120," ")</f>
        <v xml:space="preserve"> </v>
      </c>
      <c r="K120" s="27" t="str">
        <f>IF('E-Mixed'!A120&lt;'Adj-Mixed'!$B$10,'E-Mixed'!N120," ")</f>
        <v xml:space="preserve"> </v>
      </c>
      <c r="L120" s="26" t="str">
        <f>IF('E-Mixed'!A120&lt;'Adj-Mixed'!$B$10,'E-Mixed'!K120," ")</f>
        <v xml:space="preserve"> </v>
      </c>
      <c r="M120" s="30" t="str">
        <f>IF('E-Mixed'!A120&lt;'Adj-Mixed'!$B$10,'E-Mixed'!M120," ")</f>
        <v xml:space="preserve"> </v>
      </c>
      <c r="N120" t="str">
        <f>IF('E-Mixed'!A120&lt;'Adj-Mixed'!$B$10,1/L120," ")</f>
        <v xml:space="preserve"> </v>
      </c>
      <c r="O120" s="19"/>
      <c r="P120" t="str">
        <f t="shared" si="6"/>
        <v/>
      </c>
      <c r="Q120" t="str">
        <f t="shared" si="7"/>
        <v/>
      </c>
      <c r="R120" s="100" t="str">
        <f t="shared" si="5"/>
        <v/>
      </c>
    </row>
    <row r="121" spans="1:18" x14ac:dyDescent="0.25">
      <c r="A121" s="27" t="str">
        <f>IF('E-Mixed'!A121&lt;'Adj-Mixed'!$B$10,'E-Mixed'!B121," ")</f>
        <v xml:space="preserve"> </v>
      </c>
      <c r="B121" s="217" t="str">
        <f>IF('E-Mixed'!A121&lt;'Adj-Mixed'!$B$10,'E-Mixed'!A121," ")</f>
        <v xml:space="preserve"> </v>
      </c>
      <c r="C121" s="25" t="str">
        <f>IF('E-Mixed'!A121&lt;'Adj-Mixed'!$B$10,'E-Mixed'!C121," ")</f>
        <v xml:space="preserve"> </v>
      </c>
      <c r="D121" s="27" t="str">
        <f>IF('E-Mixed'!A121&lt;'Adj-Mixed'!$B$10,'E-Mixed'!G121," ")</f>
        <v xml:space="preserve"> </v>
      </c>
      <c r="E121" s="26" t="str">
        <f>IF('E-Mixed'!A121&lt;'Adj-Mixed'!$B$10,'E-Mixed'!D121," ")</f>
        <v xml:space="preserve"> </v>
      </c>
      <c r="F121" s="216"/>
      <c r="G121" s="216" t="str">
        <f t="shared" si="4"/>
        <v xml:space="preserve"> </v>
      </c>
      <c r="H121" s="27" t="str">
        <f>IF('E-Mixed'!A121&lt;'Adj-Mixed'!$B$10,'E-Mixed'!I121," ")</f>
        <v xml:space="preserve"> </v>
      </c>
      <c r="I121" s="217" t="str">
        <f>IF('E-Mixed'!A121&lt;'Adj-Mixed'!$B$10,'E-Mixed'!A121," ")</f>
        <v xml:space="preserve"> </v>
      </c>
      <c r="J121" s="25" t="str">
        <f>IF('E-Mixed'!A121&lt;'Adj-Mixed'!$B$10,'E-Mixed'!J121," ")</f>
        <v xml:space="preserve"> </v>
      </c>
      <c r="K121" s="27" t="str">
        <f>IF('E-Mixed'!A121&lt;'Adj-Mixed'!$B$10,'E-Mixed'!N121," ")</f>
        <v xml:space="preserve"> </v>
      </c>
      <c r="L121" s="26" t="str">
        <f>IF('E-Mixed'!A121&lt;'Adj-Mixed'!$B$10,'E-Mixed'!K121," ")</f>
        <v xml:space="preserve"> </v>
      </c>
      <c r="M121" s="30" t="str">
        <f>IF('E-Mixed'!A121&lt;'Adj-Mixed'!$B$10,'E-Mixed'!M121," ")</f>
        <v xml:space="preserve"> </v>
      </c>
      <c r="N121" t="str">
        <f>IF('E-Mixed'!A121&lt;'Adj-Mixed'!$B$10,1/L121," ")</f>
        <v xml:space="preserve"> </v>
      </c>
      <c r="O121" s="19"/>
      <c r="P121" t="str">
        <f t="shared" si="6"/>
        <v/>
      </c>
      <c r="Q121" t="str">
        <f t="shared" si="7"/>
        <v/>
      </c>
      <c r="R121" s="100" t="str">
        <f t="shared" si="5"/>
        <v/>
      </c>
    </row>
    <row r="122" spans="1:18" x14ac:dyDescent="0.25">
      <c r="A122" s="27" t="str">
        <f>IF('E-Mixed'!A122&lt;'Adj-Mixed'!$B$10,'E-Mixed'!B122," ")</f>
        <v xml:space="preserve"> </v>
      </c>
      <c r="B122" s="217" t="str">
        <f>IF('E-Mixed'!A122&lt;'Adj-Mixed'!$B$10,'E-Mixed'!A122," ")</f>
        <v xml:space="preserve"> </v>
      </c>
      <c r="C122" s="25" t="str">
        <f>IF('E-Mixed'!A122&lt;'Adj-Mixed'!$B$10,'E-Mixed'!C122," ")</f>
        <v xml:space="preserve"> </v>
      </c>
      <c r="D122" s="27" t="str">
        <f>IF('E-Mixed'!A122&lt;'Adj-Mixed'!$B$10,'E-Mixed'!G122," ")</f>
        <v xml:space="preserve"> </v>
      </c>
      <c r="E122" s="26" t="str">
        <f>IF('E-Mixed'!A122&lt;'Adj-Mixed'!$B$10,'E-Mixed'!D122," ")</f>
        <v xml:space="preserve"> </v>
      </c>
      <c r="F122" s="216"/>
      <c r="G122" s="216" t="str">
        <f t="shared" si="4"/>
        <v xml:space="preserve"> </v>
      </c>
      <c r="H122" s="27" t="str">
        <f>IF('E-Mixed'!A122&lt;'Adj-Mixed'!$B$10,'E-Mixed'!I122," ")</f>
        <v xml:space="preserve"> </v>
      </c>
      <c r="I122" s="217" t="str">
        <f>IF('E-Mixed'!A122&lt;'Adj-Mixed'!$B$10,'E-Mixed'!A122," ")</f>
        <v xml:space="preserve"> </v>
      </c>
      <c r="J122" s="25" t="str">
        <f>IF('E-Mixed'!A122&lt;'Adj-Mixed'!$B$10,'E-Mixed'!J122," ")</f>
        <v xml:space="preserve"> </v>
      </c>
      <c r="K122" s="27" t="str">
        <f>IF('E-Mixed'!A122&lt;'Adj-Mixed'!$B$10,'E-Mixed'!N122," ")</f>
        <v xml:space="preserve"> </v>
      </c>
      <c r="L122" s="26" t="str">
        <f>IF('E-Mixed'!A122&lt;'Adj-Mixed'!$B$10,'E-Mixed'!K122," ")</f>
        <v xml:space="preserve"> </v>
      </c>
      <c r="M122" s="30" t="str">
        <f>IF('E-Mixed'!A122&lt;'Adj-Mixed'!$B$10,'E-Mixed'!M122," ")</f>
        <v xml:space="preserve"> </v>
      </c>
      <c r="N122" t="str">
        <f>IF('E-Mixed'!A122&lt;'Adj-Mixed'!$B$10,1/L122," ")</f>
        <v xml:space="preserve"> </v>
      </c>
      <c r="O122" s="19"/>
      <c r="P122" t="str">
        <f t="shared" si="6"/>
        <v/>
      </c>
      <c r="Q122" t="str">
        <f t="shared" si="7"/>
        <v/>
      </c>
      <c r="R122" s="100" t="str">
        <f t="shared" si="5"/>
        <v/>
      </c>
    </row>
    <row r="123" spans="1:18" x14ac:dyDescent="0.25">
      <c r="A123" s="27" t="str">
        <f>IF('E-Mixed'!A123&lt;'Adj-Mixed'!$B$10,'E-Mixed'!B123," ")</f>
        <v xml:space="preserve"> </v>
      </c>
      <c r="B123" s="217" t="str">
        <f>IF('E-Mixed'!A123&lt;'Adj-Mixed'!$B$10,'E-Mixed'!A123," ")</f>
        <v xml:space="preserve"> </v>
      </c>
      <c r="C123" s="25" t="str">
        <f>IF('E-Mixed'!A123&lt;'Adj-Mixed'!$B$10,'E-Mixed'!C123," ")</f>
        <v xml:space="preserve"> </v>
      </c>
      <c r="D123" s="27" t="str">
        <f>IF('E-Mixed'!A123&lt;'Adj-Mixed'!$B$10,'E-Mixed'!G123," ")</f>
        <v xml:space="preserve"> </v>
      </c>
      <c r="E123" s="26" t="str">
        <f>IF('E-Mixed'!A123&lt;'Adj-Mixed'!$B$10,'E-Mixed'!D123," ")</f>
        <v xml:space="preserve"> </v>
      </c>
      <c r="F123" s="216"/>
      <c r="G123" s="216" t="str">
        <f t="shared" si="4"/>
        <v xml:space="preserve"> </v>
      </c>
      <c r="H123" s="27" t="str">
        <f>IF('E-Mixed'!A123&lt;'Adj-Mixed'!$B$10,'E-Mixed'!I123," ")</f>
        <v xml:space="preserve"> </v>
      </c>
      <c r="I123" s="217" t="str">
        <f>IF('E-Mixed'!A123&lt;'Adj-Mixed'!$B$10,'E-Mixed'!A123," ")</f>
        <v xml:space="preserve"> </v>
      </c>
      <c r="J123" s="25" t="str">
        <f>IF('E-Mixed'!A123&lt;'Adj-Mixed'!$B$10,'E-Mixed'!J123," ")</f>
        <v xml:space="preserve"> </v>
      </c>
      <c r="K123" s="27" t="str">
        <f>IF('E-Mixed'!A123&lt;'Adj-Mixed'!$B$10,'E-Mixed'!N123," ")</f>
        <v xml:space="preserve"> </v>
      </c>
      <c r="L123" s="26" t="str">
        <f>IF('E-Mixed'!A123&lt;'Adj-Mixed'!$B$10,'E-Mixed'!K123," ")</f>
        <v xml:space="preserve"> </v>
      </c>
      <c r="M123" s="30" t="str">
        <f>IF('E-Mixed'!A123&lt;'Adj-Mixed'!$B$10,'E-Mixed'!M123," ")</f>
        <v xml:space="preserve"> </v>
      </c>
      <c r="N123" t="str">
        <f>IF('E-Mixed'!A123&lt;'Adj-Mixed'!$B$10,1/L123," ")</f>
        <v xml:space="preserve"> </v>
      </c>
      <c r="O123" s="19"/>
      <c r="P123" t="str">
        <f t="shared" si="6"/>
        <v/>
      </c>
      <c r="Q123" t="str">
        <f t="shared" si="7"/>
        <v/>
      </c>
      <c r="R123" s="100" t="str">
        <f t="shared" si="5"/>
        <v/>
      </c>
    </row>
    <row r="124" spans="1:18" x14ac:dyDescent="0.25">
      <c r="A124" s="27" t="str">
        <f>IF('E-Mixed'!A124&lt;'Adj-Mixed'!$B$10,'E-Mixed'!B124," ")</f>
        <v xml:space="preserve"> </v>
      </c>
      <c r="B124" s="217" t="str">
        <f>IF('E-Mixed'!A124&lt;'Adj-Mixed'!$B$10,'E-Mixed'!A124," ")</f>
        <v xml:space="preserve"> </v>
      </c>
      <c r="C124" s="25" t="str">
        <f>IF('E-Mixed'!A124&lt;'Adj-Mixed'!$B$10,'E-Mixed'!C124," ")</f>
        <v xml:space="preserve"> </v>
      </c>
      <c r="D124" s="27" t="str">
        <f>IF('E-Mixed'!A124&lt;'Adj-Mixed'!$B$10,'E-Mixed'!G124," ")</f>
        <v xml:space="preserve"> </v>
      </c>
      <c r="E124" s="26" t="str">
        <f>IF('E-Mixed'!A124&lt;'Adj-Mixed'!$B$10,'E-Mixed'!D124," ")</f>
        <v xml:space="preserve"> </v>
      </c>
      <c r="F124" s="216"/>
      <c r="G124" s="216" t="str">
        <f t="shared" si="4"/>
        <v xml:space="preserve"> </v>
      </c>
      <c r="H124" s="27" t="str">
        <f>IF('E-Mixed'!A124&lt;'Adj-Mixed'!$B$10,'E-Mixed'!I124," ")</f>
        <v xml:space="preserve"> </v>
      </c>
      <c r="I124" s="217" t="str">
        <f>IF('E-Mixed'!A124&lt;'Adj-Mixed'!$B$10,'E-Mixed'!A124," ")</f>
        <v xml:space="preserve"> </v>
      </c>
      <c r="J124" s="25" t="str">
        <f>IF('E-Mixed'!A124&lt;'Adj-Mixed'!$B$10,'E-Mixed'!J124," ")</f>
        <v xml:space="preserve"> </v>
      </c>
      <c r="K124" s="27" t="str">
        <f>IF('E-Mixed'!A124&lt;'Adj-Mixed'!$B$10,'E-Mixed'!N124," ")</f>
        <v xml:space="preserve"> </v>
      </c>
      <c r="L124" s="26" t="str">
        <f>IF('E-Mixed'!A124&lt;'Adj-Mixed'!$B$10,'E-Mixed'!K124," ")</f>
        <v xml:space="preserve"> </v>
      </c>
      <c r="M124" s="30" t="str">
        <f>IF('E-Mixed'!A124&lt;'Adj-Mixed'!$B$10,'E-Mixed'!M124," ")</f>
        <v xml:space="preserve"> </v>
      </c>
      <c r="N124" t="str">
        <f>IF('E-Mixed'!A124&lt;'Adj-Mixed'!$B$10,1/L124," ")</f>
        <v xml:space="preserve"> </v>
      </c>
      <c r="O124" s="19"/>
      <c r="P124" t="str">
        <f t="shared" si="6"/>
        <v/>
      </c>
      <c r="Q124" t="str">
        <f t="shared" si="7"/>
        <v/>
      </c>
      <c r="R124" s="100" t="str">
        <f t="shared" si="5"/>
        <v/>
      </c>
    </row>
    <row r="125" spans="1:18" x14ac:dyDescent="0.25">
      <c r="A125" s="27" t="str">
        <f>IF('E-Mixed'!A125&lt;'Adj-Mixed'!$B$10,'E-Mixed'!B125," ")</f>
        <v xml:space="preserve"> </v>
      </c>
      <c r="B125" s="217" t="str">
        <f>IF('E-Mixed'!A125&lt;'Adj-Mixed'!$B$10,'E-Mixed'!A125," ")</f>
        <v xml:space="preserve"> </v>
      </c>
      <c r="C125" s="25" t="str">
        <f>IF('E-Mixed'!A125&lt;'Adj-Mixed'!$B$10,'E-Mixed'!C125," ")</f>
        <v xml:space="preserve"> </v>
      </c>
      <c r="D125" s="27" t="str">
        <f>IF('E-Mixed'!A125&lt;'Adj-Mixed'!$B$10,'E-Mixed'!G125," ")</f>
        <v xml:space="preserve"> </v>
      </c>
      <c r="E125" s="26" t="str">
        <f>IF('E-Mixed'!A125&lt;'Adj-Mixed'!$B$10,'E-Mixed'!D125," ")</f>
        <v xml:space="preserve"> </v>
      </c>
      <c r="F125" s="216"/>
      <c r="G125" s="216" t="str">
        <f t="shared" si="4"/>
        <v xml:space="preserve"> </v>
      </c>
      <c r="H125" s="27" t="str">
        <f>IF('E-Mixed'!A125&lt;'Adj-Mixed'!$B$10,'E-Mixed'!I125," ")</f>
        <v xml:space="preserve"> </v>
      </c>
      <c r="I125" s="217" t="str">
        <f>IF('E-Mixed'!A125&lt;'Adj-Mixed'!$B$10,'E-Mixed'!A125," ")</f>
        <v xml:space="preserve"> </v>
      </c>
      <c r="J125" s="25" t="str">
        <f>IF('E-Mixed'!A125&lt;'Adj-Mixed'!$B$10,'E-Mixed'!J125," ")</f>
        <v xml:space="preserve"> </v>
      </c>
      <c r="K125" s="27" t="str">
        <f>IF('E-Mixed'!A125&lt;'Adj-Mixed'!$B$10,'E-Mixed'!N125," ")</f>
        <v xml:space="preserve"> </v>
      </c>
      <c r="L125" s="26" t="str">
        <f>IF('E-Mixed'!A125&lt;'Adj-Mixed'!$B$10,'E-Mixed'!K125," ")</f>
        <v xml:space="preserve"> </v>
      </c>
      <c r="M125" s="30" t="str">
        <f>IF('E-Mixed'!A125&lt;'Adj-Mixed'!$B$10,'E-Mixed'!M125," ")</f>
        <v xml:space="preserve"> </v>
      </c>
      <c r="N125" t="str">
        <f>IF('E-Mixed'!A125&lt;'Adj-Mixed'!$B$10,1/L125," ")</f>
        <v xml:space="preserve"> </v>
      </c>
      <c r="O125" s="19"/>
      <c r="P125" t="str">
        <f t="shared" si="6"/>
        <v/>
      </c>
      <c r="Q125" t="str">
        <f t="shared" si="7"/>
        <v/>
      </c>
      <c r="R125" s="100" t="str">
        <f t="shared" si="5"/>
        <v/>
      </c>
    </row>
    <row r="126" spans="1:18" x14ac:dyDescent="0.25">
      <c r="A126" s="27" t="str">
        <f>IF('E-Mixed'!A126&lt;'Adj-Mixed'!$B$10,'E-Mixed'!B126," ")</f>
        <v xml:space="preserve"> </v>
      </c>
      <c r="B126" s="217" t="str">
        <f>IF('E-Mixed'!A126&lt;'Adj-Mixed'!$B$10,'E-Mixed'!A126," ")</f>
        <v xml:space="preserve"> </v>
      </c>
      <c r="C126" s="25" t="str">
        <f>IF('E-Mixed'!A126&lt;'Adj-Mixed'!$B$10,'E-Mixed'!C126," ")</f>
        <v xml:space="preserve"> </v>
      </c>
      <c r="D126" s="27" t="str">
        <f>IF('E-Mixed'!A126&lt;'Adj-Mixed'!$B$10,'E-Mixed'!G126," ")</f>
        <v xml:space="preserve"> </v>
      </c>
      <c r="E126" s="26" t="str">
        <f>IF('E-Mixed'!A126&lt;'Adj-Mixed'!$B$10,'E-Mixed'!D126," ")</f>
        <v xml:space="preserve"> </v>
      </c>
      <c r="F126" s="216"/>
      <c r="G126" s="216" t="str">
        <f t="shared" si="4"/>
        <v xml:space="preserve"> </v>
      </c>
      <c r="H126" s="27" t="str">
        <f>IF('E-Mixed'!A126&lt;'Adj-Mixed'!$B$10,'E-Mixed'!I126," ")</f>
        <v xml:space="preserve"> </v>
      </c>
      <c r="I126" s="217" t="str">
        <f>IF('E-Mixed'!A126&lt;'Adj-Mixed'!$B$10,'E-Mixed'!A126," ")</f>
        <v xml:space="preserve"> </v>
      </c>
      <c r="J126" s="25" t="str">
        <f>IF('E-Mixed'!A126&lt;'Adj-Mixed'!$B$10,'E-Mixed'!J126," ")</f>
        <v xml:space="preserve"> </v>
      </c>
      <c r="K126" s="27" t="str">
        <f>IF('E-Mixed'!A126&lt;'Adj-Mixed'!$B$10,'E-Mixed'!N126," ")</f>
        <v xml:space="preserve"> </v>
      </c>
      <c r="L126" s="26" t="str">
        <f>IF('E-Mixed'!A126&lt;'Adj-Mixed'!$B$10,'E-Mixed'!K126," ")</f>
        <v xml:space="preserve"> </v>
      </c>
      <c r="M126" s="30" t="str">
        <f>IF('E-Mixed'!A126&lt;'Adj-Mixed'!$B$10,'E-Mixed'!M126," ")</f>
        <v xml:space="preserve"> </v>
      </c>
      <c r="N126" t="str">
        <f>IF('E-Mixed'!A126&lt;'Adj-Mixed'!$B$10,1/L126," ")</f>
        <v xml:space="preserve"> </v>
      </c>
      <c r="O126" s="19"/>
      <c r="P126" t="str">
        <f t="shared" si="6"/>
        <v/>
      </c>
      <c r="Q126" t="str">
        <f t="shared" si="7"/>
        <v/>
      </c>
      <c r="R126" s="100" t="str">
        <f t="shared" si="5"/>
        <v/>
      </c>
    </row>
    <row r="127" spans="1:18" x14ac:dyDescent="0.25">
      <c r="A127" s="27" t="str">
        <f>IF('E-Mixed'!A127&lt;'Adj-Mixed'!$B$10,'E-Mixed'!B127," ")</f>
        <v xml:space="preserve"> </v>
      </c>
      <c r="B127" s="217" t="str">
        <f>IF('E-Mixed'!A127&lt;'Adj-Mixed'!$B$10,'E-Mixed'!A127," ")</f>
        <v xml:space="preserve"> </v>
      </c>
      <c r="C127" s="25" t="str">
        <f>IF('E-Mixed'!A127&lt;'Adj-Mixed'!$B$10,'E-Mixed'!C127," ")</f>
        <v xml:space="preserve"> </v>
      </c>
      <c r="D127" s="27" t="str">
        <f>IF('E-Mixed'!A127&lt;'Adj-Mixed'!$B$10,'E-Mixed'!G127," ")</f>
        <v xml:space="preserve"> </v>
      </c>
      <c r="E127" s="26" t="str">
        <f>IF('E-Mixed'!A127&lt;'Adj-Mixed'!$B$10,'E-Mixed'!D127," ")</f>
        <v xml:space="preserve"> </v>
      </c>
      <c r="F127" s="216"/>
      <c r="G127" s="216" t="str">
        <f t="shared" si="4"/>
        <v xml:space="preserve"> </v>
      </c>
      <c r="H127" s="27" t="str">
        <f>IF('E-Mixed'!A127&lt;'Adj-Mixed'!$B$10,'E-Mixed'!I127," ")</f>
        <v xml:space="preserve"> </v>
      </c>
      <c r="I127" s="217" t="str">
        <f>IF('E-Mixed'!A127&lt;'Adj-Mixed'!$B$10,'E-Mixed'!A127," ")</f>
        <v xml:space="preserve"> </v>
      </c>
      <c r="J127" s="25" t="str">
        <f>IF('E-Mixed'!A127&lt;'Adj-Mixed'!$B$10,'E-Mixed'!J127," ")</f>
        <v xml:space="preserve"> </v>
      </c>
      <c r="K127" s="27" t="str">
        <f>IF('E-Mixed'!A127&lt;'Adj-Mixed'!$B$10,'E-Mixed'!N127," ")</f>
        <v xml:space="preserve"> </v>
      </c>
      <c r="L127" s="26" t="str">
        <f>IF('E-Mixed'!A127&lt;'Adj-Mixed'!$B$10,'E-Mixed'!K127," ")</f>
        <v xml:space="preserve"> </v>
      </c>
      <c r="M127" s="30" t="str">
        <f>IF('E-Mixed'!A127&lt;'Adj-Mixed'!$B$10,'E-Mixed'!M127," ")</f>
        <v xml:space="preserve"> </v>
      </c>
      <c r="N127" t="str">
        <f>IF('E-Mixed'!A127&lt;'Adj-Mixed'!$B$10,1/L127," ")</f>
        <v xml:space="preserve"> </v>
      </c>
      <c r="O127" s="19"/>
      <c r="P127" t="str">
        <f t="shared" si="6"/>
        <v/>
      </c>
      <c r="Q127" t="str">
        <f t="shared" si="7"/>
        <v/>
      </c>
      <c r="R127" s="100" t="str">
        <f t="shared" si="5"/>
        <v/>
      </c>
    </row>
    <row r="128" spans="1:18" x14ac:dyDescent="0.25">
      <c r="A128" s="27" t="str">
        <f>IF('E-Mixed'!A128&lt;'Adj-Mixed'!$B$10,'E-Mixed'!B128," ")</f>
        <v xml:space="preserve"> </v>
      </c>
      <c r="B128" s="217" t="str">
        <f>IF('E-Mixed'!A128&lt;'Adj-Mixed'!$B$10,'E-Mixed'!A128," ")</f>
        <v xml:space="preserve"> </v>
      </c>
      <c r="C128" s="25" t="str">
        <f>IF('E-Mixed'!A128&lt;'Adj-Mixed'!$B$10,'E-Mixed'!C128," ")</f>
        <v xml:space="preserve"> </v>
      </c>
      <c r="D128" s="27" t="str">
        <f>IF('E-Mixed'!A128&lt;'Adj-Mixed'!$B$10,'E-Mixed'!G128," ")</f>
        <v xml:space="preserve"> </v>
      </c>
      <c r="E128" s="26" t="str">
        <f>IF('E-Mixed'!A128&lt;'Adj-Mixed'!$B$10,'E-Mixed'!D128," ")</f>
        <v xml:space="preserve"> </v>
      </c>
      <c r="F128" s="216"/>
      <c r="G128" s="216" t="str">
        <f t="shared" si="4"/>
        <v xml:space="preserve"> </v>
      </c>
      <c r="H128" s="27" t="str">
        <f>IF('E-Mixed'!A128&lt;'Adj-Mixed'!$B$10,'E-Mixed'!I128," ")</f>
        <v xml:space="preserve"> </v>
      </c>
      <c r="I128" s="217" t="str">
        <f>IF('E-Mixed'!A128&lt;'Adj-Mixed'!$B$10,'E-Mixed'!A128," ")</f>
        <v xml:space="preserve"> </v>
      </c>
      <c r="J128" s="25" t="str">
        <f>IF('E-Mixed'!A128&lt;'Adj-Mixed'!$B$10,'E-Mixed'!J128," ")</f>
        <v xml:space="preserve"> </v>
      </c>
      <c r="K128" s="27" t="str">
        <f>IF('E-Mixed'!A128&lt;'Adj-Mixed'!$B$10,'E-Mixed'!N128," ")</f>
        <v xml:space="preserve"> </v>
      </c>
      <c r="L128" s="26" t="str">
        <f>IF('E-Mixed'!A128&lt;'Adj-Mixed'!$B$10,'E-Mixed'!K128," ")</f>
        <v xml:space="preserve"> </v>
      </c>
      <c r="M128" s="30" t="str">
        <f>IF('E-Mixed'!A128&lt;'Adj-Mixed'!$B$10,'E-Mixed'!M128," ")</f>
        <v xml:space="preserve"> </v>
      </c>
      <c r="N128" t="str">
        <f>IF('E-Mixed'!A128&lt;'Adj-Mixed'!$B$10,1/L128," ")</f>
        <v xml:space="preserve"> </v>
      </c>
      <c r="O128" s="19"/>
      <c r="P128" t="str">
        <f t="shared" si="6"/>
        <v/>
      </c>
      <c r="Q128" t="str">
        <f t="shared" si="7"/>
        <v/>
      </c>
      <c r="R128" s="100" t="str">
        <f t="shared" si="5"/>
        <v/>
      </c>
    </row>
    <row r="129" spans="1:18" x14ac:dyDescent="0.25">
      <c r="A129" s="27" t="str">
        <f>IF('E-Mixed'!A129&lt;'Adj-Mixed'!$B$10,'E-Mixed'!B129," ")</f>
        <v xml:space="preserve"> </v>
      </c>
      <c r="B129" s="217" t="str">
        <f>IF('E-Mixed'!A129&lt;'Adj-Mixed'!$B$10,'E-Mixed'!A129," ")</f>
        <v xml:space="preserve"> </v>
      </c>
      <c r="C129" s="25" t="str">
        <f>IF('E-Mixed'!A129&lt;'Adj-Mixed'!$B$10,'E-Mixed'!C129," ")</f>
        <v xml:space="preserve"> </v>
      </c>
      <c r="D129" s="27" t="str">
        <f>IF('E-Mixed'!A129&lt;'Adj-Mixed'!$B$10,'E-Mixed'!G129," ")</f>
        <v xml:space="preserve"> </v>
      </c>
      <c r="E129" s="26" t="str">
        <f>IF('E-Mixed'!A129&lt;'Adj-Mixed'!$B$10,'E-Mixed'!D129," ")</f>
        <v xml:space="preserve"> </v>
      </c>
      <c r="F129" s="216"/>
      <c r="G129" s="216" t="str">
        <f t="shared" si="4"/>
        <v xml:space="preserve"> </v>
      </c>
      <c r="H129" s="27" t="str">
        <f>IF('E-Mixed'!A129&lt;'Adj-Mixed'!$B$10,'E-Mixed'!I129," ")</f>
        <v xml:space="preserve"> </v>
      </c>
      <c r="I129" s="217" t="str">
        <f>IF('E-Mixed'!A129&lt;'Adj-Mixed'!$B$10,'E-Mixed'!A129," ")</f>
        <v xml:space="preserve"> </v>
      </c>
      <c r="J129" s="25" t="str">
        <f>IF('E-Mixed'!A129&lt;'Adj-Mixed'!$B$10,'E-Mixed'!J129," ")</f>
        <v xml:space="preserve"> </v>
      </c>
      <c r="K129" s="27" t="str">
        <f>IF('E-Mixed'!A129&lt;'Adj-Mixed'!$B$10,'E-Mixed'!N129," ")</f>
        <v xml:space="preserve"> </v>
      </c>
      <c r="L129" s="26" t="str">
        <f>IF('E-Mixed'!A129&lt;'Adj-Mixed'!$B$10,'E-Mixed'!K129," ")</f>
        <v xml:space="preserve"> </v>
      </c>
      <c r="M129" s="30" t="str">
        <f>IF('E-Mixed'!A129&lt;'Adj-Mixed'!$B$10,'E-Mixed'!M129," ")</f>
        <v xml:space="preserve"> </v>
      </c>
      <c r="N129" t="str">
        <f>IF('E-Mixed'!A129&lt;'Adj-Mixed'!$B$10,1/L129," ")</f>
        <v xml:space="preserve"> </v>
      </c>
      <c r="O129" s="19"/>
      <c r="P129" t="str">
        <f t="shared" si="6"/>
        <v/>
      </c>
      <c r="Q129" t="str">
        <f t="shared" si="7"/>
        <v/>
      </c>
      <c r="R129" s="100" t="str">
        <f t="shared" si="5"/>
        <v/>
      </c>
    </row>
    <row r="130" spans="1:18" x14ac:dyDescent="0.25">
      <c r="A130" s="27" t="str">
        <f>IF('E-Mixed'!A130&lt;'Adj-Mixed'!$B$10,'E-Mixed'!B130," ")</f>
        <v xml:space="preserve"> </v>
      </c>
      <c r="B130" s="217" t="str">
        <f>IF('E-Mixed'!A130&lt;'Adj-Mixed'!$B$10,'E-Mixed'!A130," ")</f>
        <v xml:space="preserve"> </v>
      </c>
      <c r="C130" s="25" t="str">
        <f>IF('E-Mixed'!A130&lt;'Adj-Mixed'!$B$10,'E-Mixed'!C130," ")</f>
        <v xml:space="preserve"> </v>
      </c>
      <c r="D130" s="27" t="str">
        <f>IF('E-Mixed'!A130&lt;'Adj-Mixed'!$B$10,'E-Mixed'!G130," ")</f>
        <v xml:space="preserve"> </v>
      </c>
      <c r="E130" s="26" t="str">
        <f>IF('E-Mixed'!A130&lt;'Adj-Mixed'!$B$10,'E-Mixed'!D130," ")</f>
        <v xml:space="preserve"> </v>
      </c>
      <c r="F130" s="216"/>
      <c r="G130" s="216" t="str">
        <f t="shared" si="4"/>
        <v xml:space="preserve"> </v>
      </c>
      <c r="H130" s="27" t="str">
        <f>IF('E-Mixed'!A130&lt;'Adj-Mixed'!$B$10,'E-Mixed'!I130," ")</f>
        <v xml:space="preserve"> </v>
      </c>
      <c r="I130" s="217" t="str">
        <f>IF('E-Mixed'!A130&lt;'Adj-Mixed'!$B$10,'E-Mixed'!A130," ")</f>
        <v xml:space="preserve"> </v>
      </c>
      <c r="J130" s="25" t="str">
        <f>IF('E-Mixed'!A130&lt;'Adj-Mixed'!$B$10,'E-Mixed'!J130," ")</f>
        <v xml:space="preserve"> </v>
      </c>
      <c r="K130" s="27" t="str">
        <f>IF('E-Mixed'!A130&lt;'Adj-Mixed'!$B$10,'E-Mixed'!N130," ")</f>
        <v xml:space="preserve"> </v>
      </c>
      <c r="L130" s="26" t="str">
        <f>IF('E-Mixed'!A130&lt;'Adj-Mixed'!$B$10,'E-Mixed'!K130," ")</f>
        <v xml:space="preserve"> </v>
      </c>
      <c r="M130" s="30" t="str">
        <f>IF('E-Mixed'!A130&lt;'Adj-Mixed'!$B$10,'E-Mixed'!M130," ")</f>
        <v xml:space="preserve"> </v>
      </c>
      <c r="N130" t="str">
        <f>IF('E-Mixed'!A130&lt;'Adj-Mixed'!$B$10,1/L130," ")</f>
        <v xml:space="preserve"> </v>
      </c>
      <c r="O130" s="19"/>
      <c r="P130" t="str">
        <f t="shared" si="6"/>
        <v/>
      </c>
      <c r="Q130" t="str">
        <f t="shared" si="7"/>
        <v/>
      </c>
      <c r="R130" s="100" t="str">
        <f t="shared" si="5"/>
        <v/>
      </c>
    </row>
    <row r="131" spans="1:18" x14ac:dyDescent="0.25">
      <c r="A131" s="27" t="str">
        <f>IF('E-Mixed'!A131&lt;'Adj-Mixed'!$B$10,'E-Mixed'!B131," ")</f>
        <v xml:space="preserve"> </v>
      </c>
      <c r="B131" s="217" t="str">
        <f>IF('E-Mixed'!A131&lt;'Adj-Mixed'!$B$10,'E-Mixed'!A131," ")</f>
        <v xml:space="preserve"> </v>
      </c>
      <c r="C131" s="25" t="str">
        <f>IF('E-Mixed'!A131&lt;'Adj-Mixed'!$B$10,'E-Mixed'!C131," ")</f>
        <v xml:space="preserve"> </v>
      </c>
      <c r="D131" s="27" t="str">
        <f>IF('E-Mixed'!A131&lt;'Adj-Mixed'!$B$10,'E-Mixed'!G131," ")</f>
        <v xml:space="preserve"> </v>
      </c>
      <c r="E131" s="26" t="str">
        <f>IF('E-Mixed'!A131&lt;'Adj-Mixed'!$B$10,'E-Mixed'!D131," ")</f>
        <v xml:space="preserve"> </v>
      </c>
      <c r="F131" s="216"/>
      <c r="G131" s="216" t="str">
        <f t="shared" si="4"/>
        <v xml:space="preserve"> </v>
      </c>
      <c r="H131" s="27" t="str">
        <f>IF('E-Mixed'!A131&lt;'Adj-Mixed'!$B$10,'E-Mixed'!I131," ")</f>
        <v xml:space="preserve"> </v>
      </c>
      <c r="I131" s="217" t="str">
        <f>IF('E-Mixed'!A131&lt;'Adj-Mixed'!$B$10,'E-Mixed'!A131," ")</f>
        <v xml:space="preserve"> </v>
      </c>
      <c r="J131" s="25" t="str">
        <f>IF('E-Mixed'!A131&lt;'Adj-Mixed'!$B$10,'E-Mixed'!J131," ")</f>
        <v xml:space="preserve"> </v>
      </c>
      <c r="K131" s="27" t="str">
        <f>IF('E-Mixed'!A131&lt;'Adj-Mixed'!$B$10,'E-Mixed'!N131," ")</f>
        <v xml:space="preserve"> </v>
      </c>
      <c r="L131" s="26" t="str">
        <f>IF('E-Mixed'!A131&lt;'Adj-Mixed'!$B$10,'E-Mixed'!K131," ")</f>
        <v xml:space="preserve"> </v>
      </c>
      <c r="M131" s="30" t="str">
        <f>IF('E-Mixed'!A131&lt;'Adj-Mixed'!$B$10,'E-Mixed'!M131," ")</f>
        <v xml:space="preserve"> </v>
      </c>
      <c r="N131" t="str">
        <f>IF('E-Mixed'!A131&lt;'Adj-Mixed'!$B$10,1/L131," ")</f>
        <v xml:space="preserve"> </v>
      </c>
      <c r="O131" s="19"/>
      <c r="P131" t="str">
        <f t="shared" si="6"/>
        <v/>
      </c>
      <c r="Q131" t="str">
        <f t="shared" si="7"/>
        <v/>
      </c>
      <c r="R131" s="100" t="str">
        <f t="shared" si="5"/>
        <v/>
      </c>
    </row>
    <row r="132" spans="1:18" x14ac:dyDescent="0.25">
      <c r="A132" s="27" t="str">
        <f>IF('E-Mixed'!A132&lt;'Adj-Mixed'!$B$10,'E-Mixed'!B132," ")</f>
        <v xml:space="preserve"> </v>
      </c>
      <c r="B132" s="217" t="str">
        <f>IF('E-Mixed'!A132&lt;'Adj-Mixed'!$B$10,'E-Mixed'!A132," ")</f>
        <v xml:space="preserve"> </v>
      </c>
      <c r="C132" s="25" t="str">
        <f>IF('E-Mixed'!A132&lt;'Adj-Mixed'!$B$10,'E-Mixed'!C132," ")</f>
        <v xml:space="preserve"> </v>
      </c>
      <c r="D132" s="27" t="str">
        <f>IF('E-Mixed'!A132&lt;'Adj-Mixed'!$B$10,'E-Mixed'!G132," ")</f>
        <v xml:space="preserve"> </v>
      </c>
      <c r="E132" s="26" t="str">
        <f>IF('E-Mixed'!A132&lt;'Adj-Mixed'!$B$10,'E-Mixed'!D132," ")</f>
        <v xml:space="preserve"> </v>
      </c>
      <c r="F132" s="216"/>
      <c r="G132" s="216" t="str">
        <f t="shared" ref="G132:G185" si="8">IFERROR(I132,"")</f>
        <v xml:space="preserve"> </v>
      </c>
      <c r="H132" s="27" t="str">
        <f>IF('E-Mixed'!A132&lt;'Adj-Mixed'!$B$10,'E-Mixed'!I132," ")</f>
        <v xml:space="preserve"> </v>
      </c>
      <c r="I132" s="217" t="str">
        <f>IF('E-Mixed'!A132&lt;'Adj-Mixed'!$B$10,'E-Mixed'!A132," ")</f>
        <v xml:space="preserve"> </v>
      </c>
      <c r="J132" s="25" t="str">
        <f>IF('E-Mixed'!A132&lt;'Adj-Mixed'!$B$10,'E-Mixed'!J132," ")</f>
        <v xml:space="preserve"> </v>
      </c>
      <c r="K132" s="27" t="str">
        <f>IF('E-Mixed'!A132&lt;'Adj-Mixed'!$B$10,'E-Mixed'!N132," ")</f>
        <v xml:space="preserve"> </v>
      </c>
      <c r="L132" s="26" t="str">
        <f>IF('E-Mixed'!A132&lt;'Adj-Mixed'!$B$10,'E-Mixed'!K132," ")</f>
        <v xml:space="preserve"> </v>
      </c>
      <c r="M132" s="30" t="str">
        <f>IF('E-Mixed'!A132&lt;'Adj-Mixed'!$B$10,'E-Mixed'!M132," ")</f>
        <v xml:space="preserve"> </v>
      </c>
      <c r="N132" t="str">
        <f>IF('E-Mixed'!A132&lt;'Adj-Mixed'!$B$10,1/L132," ")</f>
        <v xml:space="preserve"> </v>
      </c>
      <c r="O132" s="19"/>
      <c r="P132" t="str">
        <f t="shared" si="6"/>
        <v/>
      </c>
      <c r="Q132" t="str">
        <f t="shared" si="7"/>
        <v/>
      </c>
      <c r="R132" s="100" t="str">
        <f t="shared" ref="R132:R185" si="9">IFERROR(IF(H132&lt;0,"",CONVERT(H132,"kg", "lbm")),"")</f>
        <v/>
      </c>
    </row>
    <row r="133" spans="1:18" x14ac:dyDescent="0.25">
      <c r="A133" s="27" t="str">
        <f>IF('E-Mixed'!A133&lt;'Adj-Mixed'!$B$10,'E-Mixed'!B133," ")</f>
        <v xml:space="preserve"> </v>
      </c>
      <c r="B133" s="217" t="str">
        <f>IF('E-Mixed'!A133&lt;'Adj-Mixed'!$B$10,'E-Mixed'!A133," ")</f>
        <v xml:space="preserve"> </v>
      </c>
      <c r="C133" s="25" t="str">
        <f>IF('E-Mixed'!A133&lt;'Adj-Mixed'!$B$10,'E-Mixed'!C133," ")</f>
        <v xml:space="preserve"> </v>
      </c>
      <c r="D133" s="27" t="str">
        <f>IF('E-Mixed'!A133&lt;'Adj-Mixed'!$B$10,'E-Mixed'!G133," ")</f>
        <v xml:space="preserve"> </v>
      </c>
      <c r="E133" s="26" t="str">
        <f>IF('E-Mixed'!A133&lt;'Adj-Mixed'!$B$10,'E-Mixed'!D133," ")</f>
        <v xml:space="preserve"> </v>
      </c>
      <c r="F133" s="216"/>
      <c r="G133" s="216" t="str">
        <f t="shared" si="8"/>
        <v xml:space="preserve"> </v>
      </c>
      <c r="H133" s="27" t="str">
        <f>IF('E-Mixed'!A133&lt;'Adj-Mixed'!$B$10,'E-Mixed'!I133," ")</f>
        <v xml:space="preserve"> </v>
      </c>
      <c r="I133" s="217" t="str">
        <f>IF('E-Mixed'!A133&lt;'Adj-Mixed'!$B$10,'E-Mixed'!A133," ")</f>
        <v xml:space="preserve"> </v>
      </c>
      <c r="J133" s="25" t="str">
        <f>IF('E-Mixed'!A133&lt;'Adj-Mixed'!$B$10,'E-Mixed'!J133," ")</f>
        <v xml:space="preserve"> </v>
      </c>
      <c r="K133" s="27" t="str">
        <f>IF('E-Mixed'!A133&lt;'Adj-Mixed'!$B$10,'E-Mixed'!N133," ")</f>
        <v xml:space="preserve"> </v>
      </c>
      <c r="L133" s="26" t="str">
        <f>IF('E-Mixed'!A133&lt;'Adj-Mixed'!$B$10,'E-Mixed'!K133," ")</f>
        <v xml:space="preserve"> </v>
      </c>
      <c r="M133" s="30" t="str">
        <f>IF('E-Mixed'!A133&lt;'Adj-Mixed'!$B$10,'E-Mixed'!M133," ")</f>
        <v xml:space="preserve"> </v>
      </c>
      <c r="N133" t="str">
        <f>IF('E-Mixed'!A133&lt;'Adj-Mixed'!$B$10,1/L133," ")</f>
        <v xml:space="preserve"> </v>
      </c>
      <c r="O133" s="19"/>
      <c r="P133" t="str">
        <f t="shared" ref="P133:P185" si="10">IFERROR(IF(J133&lt;0,"",CONVERT(J133,"g", "lbm")),"")</f>
        <v/>
      </c>
      <c r="Q133" t="str">
        <f t="shared" ref="Q133:Q185" si="11">IFERROR(IF(M133&lt;0,"",CONVERT(M133,"kg", "lbm")),"")</f>
        <v/>
      </c>
      <c r="R133" s="100" t="str">
        <f t="shared" si="9"/>
        <v/>
      </c>
    </row>
    <row r="134" spans="1:18" x14ac:dyDescent="0.25">
      <c r="A134" s="27" t="str">
        <f>IF('E-Mixed'!A134&lt;'Adj-Mixed'!$B$10,'E-Mixed'!B134," ")</f>
        <v xml:space="preserve"> </v>
      </c>
      <c r="B134" s="217" t="str">
        <f>IF('E-Mixed'!A134&lt;'Adj-Mixed'!$B$10,'E-Mixed'!A134," ")</f>
        <v xml:space="preserve"> </v>
      </c>
      <c r="C134" s="25" t="str">
        <f>IF('E-Mixed'!A134&lt;'Adj-Mixed'!$B$10,'E-Mixed'!C134," ")</f>
        <v xml:space="preserve"> </v>
      </c>
      <c r="D134" s="27" t="str">
        <f>IF('E-Mixed'!A134&lt;'Adj-Mixed'!$B$10,'E-Mixed'!G134," ")</f>
        <v xml:space="preserve"> </v>
      </c>
      <c r="E134" s="26" t="str">
        <f>IF('E-Mixed'!A134&lt;'Adj-Mixed'!$B$10,'E-Mixed'!D134," ")</f>
        <v xml:space="preserve"> </v>
      </c>
      <c r="F134" s="216"/>
      <c r="G134" s="216" t="str">
        <f t="shared" si="8"/>
        <v xml:space="preserve"> </v>
      </c>
      <c r="H134" s="27" t="str">
        <f>IF('E-Mixed'!A134&lt;'Adj-Mixed'!$B$10,'E-Mixed'!I134," ")</f>
        <v xml:space="preserve"> </v>
      </c>
      <c r="I134" s="217" t="str">
        <f>IF('E-Mixed'!A134&lt;'Adj-Mixed'!$B$10,'E-Mixed'!A134," ")</f>
        <v xml:space="preserve"> </v>
      </c>
      <c r="J134" s="25" t="str">
        <f>IF('E-Mixed'!A134&lt;'Adj-Mixed'!$B$10,'E-Mixed'!J134," ")</f>
        <v xml:space="preserve"> </v>
      </c>
      <c r="K134" s="27" t="str">
        <f>IF('E-Mixed'!A134&lt;'Adj-Mixed'!$B$10,'E-Mixed'!N134," ")</f>
        <v xml:space="preserve"> </v>
      </c>
      <c r="L134" s="26" t="str">
        <f>IF('E-Mixed'!A134&lt;'Adj-Mixed'!$B$10,'E-Mixed'!K134," ")</f>
        <v xml:space="preserve"> </v>
      </c>
      <c r="M134" s="30" t="str">
        <f>IF('E-Mixed'!A134&lt;'Adj-Mixed'!$B$10,'E-Mixed'!M134," ")</f>
        <v xml:space="preserve"> </v>
      </c>
      <c r="N134" t="str">
        <f>IF('E-Mixed'!A134&lt;'Adj-Mixed'!$B$10,1/L134," ")</f>
        <v xml:space="preserve"> </v>
      </c>
      <c r="O134" s="19"/>
      <c r="P134" t="str">
        <f t="shared" si="10"/>
        <v/>
      </c>
      <c r="Q134" t="str">
        <f t="shared" si="11"/>
        <v/>
      </c>
      <c r="R134" s="100" t="str">
        <f t="shared" si="9"/>
        <v/>
      </c>
    </row>
    <row r="135" spans="1:18" x14ac:dyDescent="0.25">
      <c r="A135" s="27" t="str">
        <f>IF('E-Mixed'!A135&lt;'Adj-Mixed'!$B$10,'E-Mixed'!B135," ")</f>
        <v xml:space="preserve"> </v>
      </c>
      <c r="B135" s="217" t="str">
        <f>IF('E-Mixed'!A135&lt;'Adj-Mixed'!$B$10,'E-Mixed'!A135," ")</f>
        <v xml:space="preserve"> </v>
      </c>
      <c r="C135" s="25" t="str">
        <f>IF('E-Mixed'!A135&lt;'Adj-Mixed'!$B$10,'E-Mixed'!C135," ")</f>
        <v xml:space="preserve"> </v>
      </c>
      <c r="D135" s="27" t="str">
        <f>IF('E-Mixed'!A135&lt;'Adj-Mixed'!$B$10,'E-Mixed'!G135," ")</f>
        <v xml:space="preserve"> </v>
      </c>
      <c r="E135" s="26" t="str">
        <f>IF('E-Mixed'!A135&lt;'Adj-Mixed'!$B$10,'E-Mixed'!D135," ")</f>
        <v xml:space="preserve"> </v>
      </c>
      <c r="F135" s="216"/>
      <c r="G135" s="216" t="str">
        <f t="shared" si="8"/>
        <v xml:space="preserve"> </v>
      </c>
      <c r="H135" s="27" t="str">
        <f>IF('E-Mixed'!A135&lt;'Adj-Mixed'!$B$10,'E-Mixed'!I135," ")</f>
        <v xml:space="preserve"> </v>
      </c>
      <c r="I135" s="217" t="str">
        <f>IF('E-Mixed'!A135&lt;'Adj-Mixed'!$B$10,'E-Mixed'!A135," ")</f>
        <v xml:space="preserve"> </v>
      </c>
      <c r="J135" s="25" t="str">
        <f>IF('E-Mixed'!A135&lt;'Adj-Mixed'!$B$10,'E-Mixed'!J135," ")</f>
        <v xml:space="preserve"> </v>
      </c>
      <c r="K135" s="27" t="str">
        <f>IF('E-Mixed'!A135&lt;'Adj-Mixed'!$B$10,'E-Mixed'!N135," ")</f>
        <v xml:space="preserve"> </v>
      </c>
      <c r="L135" s="26" t="str">
        <f>IF('E-Mixed'!A135&lt;'Adj-Mixed'!$B$10,'E-Mixed'!K135," ")</f>
        <v xml:space="preserve"> </v>
      </c>
      <c r="M135" s="30" t="str">
        <f>IF('E-Mixed'!A135&lt;'Adj-Mixed'!$B$10,'E-Mixed'!M135," ")</f>
        <v xml:space="preserve"> </v>
      </c>
      <c r="N135" t="str">
        <f>IF('E-Mixed'!A135&lt;'Adj-Mixed'!$B$10,1/L135," ")</f>
        <v xml:space="preserve"> </v>
      </c>
      <c r="O135" s="19"/>
      <c r="P135" t="str">
        <f t="shared" si="10"/>
        <v/>
      </c>
      <c r="Q135" t="str">
        <f t="shared" si="11"/>
        <v/>
      </c>
      <c r="R135" s="100" t="str">
        <f t="shared" si="9"/>
        <v/>
      </c>
    </row>
    <row r="136" spans="1:18" x14ac:dyDescent="0.25">
      <c r="A136" s="27" t="str">
        <f>IF('E-Mixed'!A136&lt;'Adj-Mixed'!$B$10,'E-Mixed'!B136," ")</f>
        <v xml:space="preserve"> </v>
      </c>
      <c r="B136" s="217" t="str">
        <f>IF('E-Mixed'!A136&lt;'Adj-Mixed'!$B$10,'E-Mixed'!A136," ")</f>
        <v xml:space="preserve"> </v>
      </c>
      <c r="C136" s="25" t="str">
        <f>IF('E-Mixed'!A136&lt;'Adj-Mixed'!$B$10,'E-Mixed'!C136," ")</f>
        <v xml:space="preserve"> </v>
      </c>
      <c r="D136" s="27" t="str">
        <f>IF('E-Mixed'!A136&lt;'Adj-Mixed'!$B$10,'E-Mixed'!G136," ")</f>
        <v xml:space="preserve"> </v>
      </c>
      <c r="E136" s="26" t="str">
        <f>IF('E-Mixed'!A136&lt;'Adj-Mixed'!$B$10,'E-Mixed'!D136," ")</f>
        <v xml:space="preserve"> </v>
      </c>
      <c r="F136" s="216"/>
      <c r="G136" s="216" t="str">
        <f t="shared" si="8"/>
        <v xml:space="preserve"> </v>
      </c>
      <c r="H136" s="27" t="str">
        <f>IF('E-Mixed'!A136&lt;'Adj-Mixed'!$B$10,'E-Mixed'!I136," ")</f>
        <v xml:space="preserve"> </v>
      </c>
      <c r="I136" s="217" t="str">
        <f>IF('E-Mixed'!A136&lt;'Adj-Mixed'!$B$10,'E-Mixed'!A136," ")</f>
        <v xml:space="preserve"> </v>
      </c>
      <c r="J136" s="25" t="str">
        <f>IF('E-Mixed'!A136&lt;'Adj-Mixed'!$B$10,'E-Mixed'!J136," ")</f>
        <v xml:space="preserve"> </v>
      </c>
      <c r="K136" s="27" t="str">
        <f>IF('E-Mixed'!A136&lt;'Adj-Mixed'!$B$10,'E-Mixed'!N136," ")</f>
        <v xml:space="preserve"> </v>
      </c>
      <c r="L136" s="26" t="str">
        <f>IF('E-Mixed'!A136&lt;'Adj-Mixed'!$B$10,'E-Mixed'!K136," ")</f>
        <v xml:space="preserve"> </v>
      </c>
      <c r="M136" s="30" t="str">
        <f>IF('E-Mixed'!A136&lt;'Adj-Mixed'!$B$10,'E-Mixed'!M136," ")</f>
        <v xml:space="preserve"> </v>
      </c>
      <c r="N136" t="str">
        <f>IF('E-Mixed'!A136&lt;'Adj-Mixed'!$B$10,1/L136," ")</f>
        <v xml:space="preserve"> </v>
      </c>
      <c r="O136" s="19"/>
      <c r="P136" t="str">
        <f t="shared" si="10"/>
        <v/>
      </c>
      <c r="Q136" t="str">
        <f t="shared" si="11"/>
        <v/>
      </c>
      <c r="R136" s="100" t="str">
        <f t="shared" si="9"/>
        <v/>
      </c>
    </row>
    <row r="137" spans="1:18" x14ac:dyDescent="0.25">
      <c r="A137" s="27" t="str">
        <f>IF('E-Mixed'!A137&lt;'Adj-Mixed'!$B$10,'E-Mixed'!B137," ")</f>
        <v xml:space="preserve"> </v>
      </c>
      <c r="B137" s="217" t="str">
        <f>IF('E-Mixed'!A137&lt;'Adj-Mixed'!$B$10,'E-Mixed'!A137," ")</f>
        <v xml:space="preserve"> </v>
      </c>
      <c r="C137" s="25" t="str">
        <f>IF('E-Mixed'!A137&lt;'Adj-Mixed'!$B$10,'E-Mixed'!C137," ")</f>
        <v xml:space="preserve"> </v>
      </c>
      <c r="D137" s="27" t="str">
        <f>IF('E-Mixed'!A137&lt;'Adj-Mixed'!$B$10,'E-Mixed'!G137," ")</f>
        <v xml:space="preserve"> </v>
      </c>
      <c r="E137" s="26" t="str">
        <f>IF('E-Mixed'!A137&lt;'Adj-Mixed'!$B$10,'E-Mixed'!D137," ")</f>
        <v xml:space="preserve"> </v>
      </c>
      <c r="F137" s="216"/>
      <c r="G137" s="216" t="str">
        <f t="shared" si="8"/>
        <v xml:space="preserve"> </v>
      </c>
      <c r="H137" s="27" t="str">
        <f>IF('E-Mixed'!A137&lt;'Adj-Mixed'!$B$10,'E-Mixed'!I137," ")</f>
        <v xml:space="preserve"> </v>
      </c>
      <c r="I137" s="217" t="str">
        <f>IF('E-Mixed'!A137&lt;'Adj-Mixed'!$B$10,'E-Mixed'!A137," ")</f>
        <v xml:space="preserve"> </v>
      </c>
      <c r="J137" s="25" t="str">
        <f>IF('E-Mixed'!A137&lt;'Adj-Mixed'!$B$10,'E-Mixed'!J137," ")</f>
        <v xml:space="preserve"> </v>
      </c>
      <c r="K137" s="27" t="str">
        <f>IF('E-Mixed'!A137&lt;'Adj-Mixed'!$B$10,'E-Mixed'!N137," ")</f>
        <v xml:space="preserve"> </v>
      </c>
      <c r="L137" s="26" t="str">
        <f>IF('E-Mixed'!A137&lt;'Adj-Mixed'!$B$10,'E-Mixed'!K137," ")</f>
        <v xml:space="preserve"> </v>
      </c>
      <c r="M137" s="30" t="str">
        <f>IF('E-Mixed'!A137&lt;'Adj-Mixed'!$B$10,'E-Mixed'!M137," ")</f>
        <v xml:space="preserve"> </v>
      </c>
      <c r="N137" t="str">
        <f>IF('E-Mixed'!A137&lt;'Adj-Mixed'!$B$10,1/L137," ")</f>
        <v xml:space="preserve"> </v>
      </c>
      <c r="O137" s="19"/>
      <c r="P137" t="str">
        <f t="shared" si="10"/>
        <v/>
      </c>
      <c r="Q137" t="str">
        <f t="shared" si="11"/>
        <v/>
      </c>
      <c r="R137" s="100" t="str">
        <f t="shared" si="9"/>
        <v/>
      </c>
    </row>
    <row r="138" spans="1:18" x14ac:dyDescent="0.25">
      <c r="A138" s="27" t="str">
        <f>IF('E-Mixed'!A138&lt;'Adj-Mixed'!$B$10,'E-Mixed'!B138," ")</f>
        <v xml:space="preserve"> </v>
      </c>
      <c r="B138" s="217" t="str">
        <f>IF('E-Mixed'!A138&lt;'Adj-Mixed'!$B$10,'E-Mixed'!A138," ")</f>
        <v xml:space="preserve"> </v>
      </c>
      <c r="C138" s="25" t="str">
        <f>IF('E-Mixed'!A138&lt;'Adj-Mixed'!$B$10,'E-Mixed'!C138," ")</f>
        <v xml:space="preserve"> </v>
      </c>
      <c r="D138" s="27" t="str">
        <f>IF('E-Mixed'!A138&lt;'Adj-Mixed'!$B$10,'E-Mixed'!G138," ")</f>
        <v xml:space="preserve"> </v>
      </c>
      <c r="E138" s="26" t="str">
        <f>IF('E-Mixed'!A138&lt;'Adj-Mixed'!$B$10,'E-Mixed'!D138," ")</f>
        <v xml:space="preserve"> </v>
      </c>
      <c r="F138" s="216"/>
      <c r="G138" s="216" t="str">
        <f t="shared" si="8"/>
        <v xml:space="preserve"> </v>
      </c>
      <c r="H138" s="27" t="str">
        <f>IF('E-Mixed'!A138&lt;'Adj-Mixed'!$B$10,'E-Mixed'!I138," ")</f>
        <v xml:space="preserve"> </v>
      </c>
      <c r="I138" s="217" t="str">
        <f>IF('E-Mixed'!A138&lt;'Adj-Mixed'!$B$10,'E-Mixed'!A138," ")</f>
        <v xml:space="preserve"> </v>
      </c>
      <c r="J138" s="25" t="str">
        <f>IF('E-Mixed'!A138&lt;'Adj-Mixed'!$B$10,'E-Mixed'!J138," ")</f>
        <v xml:space="preserve"> </v>
      </c>
      <c r="K138" s="27" t="str">
        <f>IF('E-Mixed'!A138&lt;'Adj-Mixed'!$B$10,'E-Mixed'!N138," ")</f>
        <v xml:space="preserve"> </v>
      </c>
      <c r="L138" s="26" t="str">
        <f>IF('E-Mixed'!A138&lt;'Adj-Mixed'!$B$10,'E-Mixed'!K138," ")</f>
        <v xml:space="preserve"> </v>
      </c>
      <c r="M138" s="30" t="str">
        <f>IF('E-Mixed'!A138&lt;'Adj-Mixed'!$B$10,'E-Mixed'!M138," ")</f>
        <v xml:space="preserve"> </v>
      </c>
      <c r="N138" t="str">
        <f>IF('E-Mixed'!A138&lt;'Adj-Mixed'!$B$10,1/L138," ")</f>
        <v xml:space="preserve"> </v>
      </c>
      <c r="O138" s="19"/>
      <c r="P138" t="str">
        <f t="shared" si="10"/>
        <v/>
      </c>
      <c r="Q138" t="str">
        <f t="shared" si="11"/>
        <v/>
      </c>
      <c r="R138" s="100" t="str">
        <f t="shared" si="9"/>
        <v/>
      </c>
    </row>
    <row r="139" spans="1:18" x14ac:dyDescent="0.25">
      <c r="A139" s="27" t="str">
        <f>IF('E-Mixed'!A139&lt;'Adj-Mixed'!$B$10,'E-Mixed'!B139," ")</f>
        <v xml:space="preserve"> </v>
      </c>
      <c r="B139" s="217" t="str">
        <f>IF('E-Mixed'!A139&lt;'Adj-Mixed'!$B$10,'E-Mixed'!A139," ")</f>
        <v xml:space="preserve"> </v>
      </c>
      <c r="C139" s="25" t="str">
        <f>IF('E-Mixed'!A139&lt;'Adj-Mixed'!$B$10,'E-Mixed'!C139," ")</f>
        <v xml:space="preserve"> </v>
      </c>
      <c r="D139" s="27" t="str">
        <f>IF('E-Mixed'!A139&lt;'Adj-Mixed'!$B$10,'E-Mixed'!G139," ")</f>
        <v xml:space="preserve"> </v>
      </c>
      <c r="E139" s="26" t="str">
        <f>IF('E-Mixed'!A139&lt;'Adj-Mixed'!$B$10,'E-Mixed'!D139," ")</f>
        <v xml:space="preserve"> </v>
      </c>
      <c r="F139" s="216"/>
      <c r="G139" s="216" t="str">
        <f t="shared" si="8"/>
        <v xml:space="preserve"> </v>
      </c>
      <c r="H139" s="27" t="str">
        <f>IF('E-Mixed'!A139&lt;'Adj-Mixed'!$B$10,'E-Mixed'!I139," ")</f>
        <v xml:space="preserve"> </v>
      </c>
      <c r="I139" s="217" t="str">
        <f>IF('E-Mixed'!A139&lt;'Adj-Mixed'!$B$10,'E-Mixed'!A139," ")</f>
        <v xml:space="preserve"> </v>
      </c>
      <c r="J139" s="25" t="str">
        <f>IF('E-Mixed'!A139&lt;'Adj-Mixed'!$B$10,'E-Mixed'!J139," ")</f>
        <v xml:space="preserve"> </v>
      </c>
      <c r="K139" s="27" t="str">
        <f>IF('E-Mixed'!A139&lt;'Adj-Mixed'!$B$10,'E-Mixed'!N139," ")</f>
        <v xml:space="preserve"> </v>
      </c>
      <c r="L139" s="26" t="str">
        <f>IF('E-Mixed'!A139&lt;'Adj-Mixed'!$B$10,'E-Mixed'!K139," ")</f>
        <v xml:space="preserve"> </v>
      </c>
      <c r="M139" s="30" t="str">
        <f>IF('E-Mixed'!A139&lt;'Adj-Mixed'!$B$10,'E-Mixed'!M139," ")</f>
        <v xml:space="preserve"> </v>
      </c>
      <c r="N139" t="str">
        <f>IF('E-Mixed'!A139&lt;'Adj-Mixed'!$B$10,1/L139," ")</f>
        <v xml:space="preserve"> </v>
      </c>
      <c r="O139" s="19"/>
      <c r="P139" t="str">
        <f t="shared" si="10"/>
        <v/>
      </c>
      <c r="Q139" t="str">
        <f t="shared" si="11"/>
        <v/>
      </c>
      <c r="R139" s="100" t="str">
        <f t="shared" si="9"/>
        <v/>
      </c>
    </row>
    <row r="140" spans="1:18" x14ac:dyDescent="0.25">
      <c r="A140" s="27" t="str">
        <f>IF('E-Mixed'!A140&lt;'Adj-Mixed'!$B$10,'E-Mixed'!B140," ")</f>
        <v xml:space="preserve"> </v>
      </c>
      <c r="B140" s="217" t="str">
        <f>IF('E-Mixed'!A140&lt;'Adj-Mixed'!$B$10,'E-Mixed'!A140," ")</f>
        <v xml:space="preserve"> </v>
      </c>
      <c r="C140" s="25" t="str">
        <f>IF('E-Mixed'!A140&lt;'Adj-Mixed'!$B$10,'E-Mixed'!C140," ")</f>
        <v xml:space="preserve"> </v>
      </c>
      <c r="D140" s="27" t="str">
        <f>IF('E-Mixed'!A140&lt;'Adj-Mixed'!$B$10,'E-Mixed'!G140," ")</f>
        <v xml:space="preserve"> </v>
      </c>
      <c r="E140" s="26" t="str">
        <f>IF('E-Mixed'!A140&lt;'Adj-Mixed'!$B$10,'E-Mixed'!D140," ")</f>
        <v xml:space="preserve"> </v>
      </c>
      <c r="F140" s="216"/>
      <c r="G140" s="216" t="str">
        <f t="shared" si="8"/>
        <v xml:space="preserve"> </v>
      </c>
      <c r="H140" s="27" t="str">
        <f>IF('E-Mixed'!A140&lt;'Adj-Mixed'!$B$10,'E-Mixed'!I140," ")</f>
        <v xml:space="preserve"> </v>
      </c>
      <c r="I140" s="217" t="str">
        <f>IF('E-Mixed'!A140&lt;'Adj-Mixed'!$B$10,'E-Mixed'!A140," ")</f>
        <v xml:space="preserve"> </v>
      </c>
      <c r="J140" s="25" t="str">
        <f>IF('E-Mixed'!A140&lt;'Adj-Mixed'!$B$10,'E-Mixed'!J140," ")</f>
        <v xml:space="preserve"> </v>
      </c>
      <c r="K140" s="27" t="str">
        <f>IF('E-Mixed'!A140&lt;'Adj-Mixed'!$B$10,'E-Mixed'!N140," ")</f>
        <v xml:space="preserve"> </v>
      </c>
      <c r="L140" s="26" t="str">
        <f>IF('E-Mixed'!A140&lt;'Adj-Mixed'!$B$10,'E-Mixed'!K140," ")</f>
        <v xml:space="preserve"> </v>
      </c>
      <c r="M140" s="30" t="str">
        <f>IF('E-Mixed'!A140&lt;'Adj-Mixed'!$B$10,'E-Mixed'!M140," ")</f>
        <v xml:space="preserve"> </v>
      </c>
      <c r="N140" t="str">
        <f>IF('E-Mixed'!A140&lt;'Adj-Mixed'!$B$10,1/L140," ")</f>
        <v xml:space="preserve"> </v>
      </c>
      <c r="O140" s="19"/>
      <c r="P140" t="str">
        <f t="shared" si="10"/>
        <v/>
      </c>
      <c r="Q140" t="str">
        <f t="shared" si="11"/>
        <v/>
      </c>
      <c r="R140" s="100" t="str">
        <f t="shared" si="9"/>
        <v/>
      </c>
    </row>
    <row r="141" spans="1:18" x14ac:dyDescent="0.25">
      <c r="A141" s="27" t="str">
        <f>IF('E-Mixed'!A141&lt;'Adj-Mixed'!$B$10,'E-Mixed'!B141," ")</f>
        <v xml:space="preserve"> </v>
      </c>
      <c r="B141" s="217" t="str">
        <f>IF('E-Mixed'!A141&lt;'Adj-Mixed'!$B$10,'E-Mixed'!A141," ")</f>
        <v xml:space="preserve"> </v>
      </c>
      <c r="C141" s="25" t="str">
        <f>IF('E-Mixed'!A141&lt;'Adj-Mixed'!$B$10,'E-Mixed'!C141," ")</f>
        <v xml:space="preserve"> </v>
      </c>
      <c r="D141" s="27" t="str">
        <f>IF('E-Mixed'!A141&lt;'Adj-Mixed'!$B$10,'E-Mixed'!G141," ")</f>
        <v xml:space="preserve"> </v>
      </c>
      <c r="E141" s="26" t="str">
        <f>IF('E-Mixed'!A141&lt;'Adj-Mixed'!$B$10,'E-Mixed'!D141," ")</f>
        <v xml:space="preserve"> </v>
      </c>
      <c r="F141" s="216"/>
      <c r="G141" s="216" t="str">
        <f t="shared" si="8"/>
        <v xml:space="preserve"> </v>
      </c>
      <c r="H141" s="27" t="str">
        <f>IF('E-Mixed'!A141&lt;'Adj-Mixed'!$B$10,'E-Mixed'!I141," ")</f>
        <v xml:space="preserve"> </v>
      </c>
      <c r="I141" s="217" t="str">
        <f>IF('E-Mixed'!A141&lt;'Adj-Mixed'!$B$10,'E-Mixed'!A141," ")</f>
        <v xml:space="preserve"> </v>
      </c>
      <c r="J141" s="25" t="str">
        <f>IF('E-Mixed'!A141&lt;'Adj-Mixed'!$B$10,'E-Mixed'!J141," ")</f>
        <v xml:space="preserve"> </v>
      </c>
      <c r="K141" s="27" t="str">
        <f>IF('E-Mixed'!A141&lt;'Adj-Mixed'!$B$10,'E-Mixed'!N141," ")</f>
        <v xml:space="preserve"> </v>
      </c>
      <c r="L141" s="26" t="str">
        <f>IF('E-Mixed'!A141&lt;'Adj-Mixed'!$B$10,'E-Mixed'!K141," ")</f>
        <v xml:space="preserve"> </v>
      </c>
      <c r="M141" s="30" t="str">
        <f>IF('E-Mixed'!A141&lt;'Adj-Mixed'!$B$10,'E-Mixed'!M141," ")</f>
        <v xml:space="preserve"> </v>
      </c>
      <c r="N141" t="str">
        <f>IF('E-Mixed'!A141&lt;'Adj-Mixed'!$B$10,1/L141," ")</f>
        <v xml:space="preserve"> </v>
      </c>
      <c r="O141" s="19"/>
      <c r="P141" t="str">
        <f t="shared" si="10"/>
        <v/>
      </c>
      <c r="Q141" t="str">
        <f t="shared" si="11"/>
        <v/>
      </c>
      <c r="R141" s="100" t="str">
        <f t="shared" si="9"/>
        <v/>
      </c>
    </row>
    <row r="142" spans="1:18" x14ac:dyDescent="0.25">
      <c r="A142" s="27" t="str">
        <f>IF('E-Mixed'!A142&lt;'Adj-Mixed'!$B$10,'E-Mixed'!B142," ")</f>
        <v xml:space="preserve"> </v>
      </c>
      <c r="B142" s="217" t="str">
        <f>IF('E-Mixed'!A142&lt;'Adj-Mixed'!$B$10,'E-Mixed'!A142," ")</f>
        <v xml:space="preserve"> </v>
      </c>
      <c r="C142" s="25" t="str">
        <f>IF('E-Mixed'!A142&lt;'Adj-Mixed'!$B$10,'E-Mixed'!C142," ")</f>
        <v xml:space="preserve"> </v>
      </c>
      <c r="D142" s="27" t="str">
        <f>IF('E-Mixed'!A142&lt;'Adj-Mixed'!$B$10,'E-Mixed'!G142," ")</f>
        <v xml:space="preserve"> </v>
      </c>
      <c r="E142" s="26" t="str">
        <f>IF('E-Mixed'!A142&lt;'Adj-Mixed'!$B$10,'E-Mixed'!D142," ")</f>
        <v xml:space="preserve"> </v>
      </c>
      <c r="F142" s="216"/>
      <c r="G142" s="216" t="str">
        <f t="shared" si="8"/>
        <v xml:space="preserve"> </v>
      </c>
      <c r="H142" s="27" t="str">
        <f>IF('E-Mixed'!A142&lt;'Adj-Mixed'!$B$10,'E-Mixed'!I142," ")</f>
        <v xml:space="preserve"> </v>
      </c>
      <c r="I142" s="217" t="str">
        <f>IF('E-Mixed'!A142&lt;'Adj-Mixed'!$B$10,'E-Mixed'!A142," ")</f>
        <v xml:space="preserve"> </v>
      </c>
      <c r="J142" s="25" t="str">
        <f>IF('E-Mixed'!A142&lt;'Adj-Mixed'!$B$10,'E-Mixed'!J142," ")</f>
        <v xml:space="preserve"> </v>
      </c>
      <c r="K142" s="27" t="str">
        <f>IF('E-Mixed'!A142&lt;'Adj-Mixed'!$B$10,'E-Mixed'!N142," ")</f>
        <v xml:space="preserve"> </v>
      </c>
      <c r="L142" s="26" t="str">
        <f>IF('E-Mixed'!A142&lt;'Adj-Mixed'!$B$10,'E-Mixed'!K142," ")</f>
        <v xml:space="preserve"> </v>
      </c>
      <c r="M142" s="30" t="str">
        <f>IF('E-Mixed'!A142&lt;'Adj-Mixed'!$B$10,'E-Mixed'!M142," ")</f>
        <v xml:space="preserve"> </v>
      </c>
      <c r="N142" t="str">
        <f>IF('E-Mixed'!A142&lt;'Adj-Mixed'!$B$10,1/L142," ")</f>
        <v xml:space="preserve"> </v>
      </c>
      <c r="O142" s="19"/>
      <c r="P142" t="str">
        <f t="shared" si="10"/>
        <v/>
      </c>
      <c r="Q142" t="str">
        <f t="shared" si="11"/>
        <v/>
      </c>
      <c r="R142" s="100" t="str">
        <f t="shared" si="9"/>
        <v/>
      </c>
    </row>
    <row r="143" spans="1:18" x14ac:dyDescent="0.25">
      <c r="A143" s="27" t="str">
        <f>IF('E-Mixed'!A143&lt;'Adj-Mixed'!$B$10,'E-Mixed'!B143," ")</f>
        <v xml:space="preserve"> </v>
      </c>
      <c r="B143" s="217" t="str">
        <f>IF('E-Mixed'!A143&lt;'Adj-Mixed'!$B$10,'E-Mixed'!A143," ")</f>
        <v xml:space="preserve"> </v>
      </c>
      <c r="C143" s="25" t="str">
        <f>IF('E-Mixed'!A143&lt;'Adj-Mixed'!$B$10,'E-Mixed'!C143," ")</f>
        <v xml:space="preserve"> </v>
      </c>
      <c r="D143" s="27" t="str">
        <f>IF('E-Mixed'!A143&lt;'Adj-Mixed'!$B$10,'E-Mixed'!G143," ")</f>
        <v xml:space="preserve"> </v>
      </c>
      <c r="E143" s="26" t="str">
        <f>IF('E-Mixed'!A143&lt;'Adj-Mixed'!$B$10,'E-Mixed'!D143," ")</f>
        <v xml:space="preserve"> </v>
      </c>
      <c r="F143" s="216"/>
      <c r="G143" s="216" t="str">
        <f t="shared" si="8"/>
        <v xml:space="preserve"> </v>
      </c>
      <c r="H143" s="27" t="str">
        <f>IF('E-Mixed'!A143&lt;'Adj-Mixed'!$B$10,'E-Mixed'!I143," ")</f>
        <v xml:space="preserve"> </v>
      </c>
      <c r="I143" s="217" t="str">
        <f>IF('E-Mixed'!A143&lt;'Adj-Mixed'!$B$10,'E-Mixed'!A143," ")</f>
        <v xml:space="preserve"> </v>
      </c>
      <c r="J143" s="25" t="str">
        <f>IF('E-Mixed'!A143&lt;'Adj-Mixed'!$B$10,'E-Mixed'!J143," ")</f>
        <v xml:space="preserve"> </v>
      </c>
      <c r="K143" s="27" t="str">
        <f>IF('E-Mixed'!A143&lt;'Adj-Mixed'!$B$10,'E-Mixed'!N143," ")</f>
        <v xml:space="preserve"> </v>
      </c>
      <c r="L143" s="26" t="str">
        <f>IF('E-Mixed'!A143&lt;'Adj-Mixed'!$B$10,'E-Mixed'!K143," ")</f>
        <v xml:space="preserve"> </v>
      </c>
      <c r="M143" s="30" t="str">
        <f>IF('E-Mixed'!A143&lt;'Adj-Mixed'!$B$10,'E-Mixed'!M143," ")</f>
        <v xml:space="preserve"> </v>
      </c>
      <c r="N143" t="str">
        <f>IF('E-Mixed'!A143&lt;'Adj-Mixed'!$B$10,1/L143," ")</f>
        <v xml:space="preserve"> </v>
      </c>
      <c r="O143" s="19"/>
      <c r="P143" t="str">
        <f t="shared" si="10"/>
        <v/>
      </c>
      <c r="Q143" t="str">
        <f t="shared" si="11"/>
        <v/>
      </c>
      <c r="R143" s="100" t="str">
        <f t="shared" si="9"/>
        <v/>
      </c>
    </row>
    <row r="144" spans="1:18" x14ac:dyDescent="0.25">
      <c r="A144" s="27" t="str">
        <f>IF('E-Mixed'!A144&lt;'Adj-Mixed'!$B$10,'E-Mixed'!B144," ")</f>
        <v xml:space="preserve"> </v>
      </c>
      <c r="B144" s="217" t="str">
        <f>IF('E-Mixed'!A144&lt;'Adj-Mixed'!$B$10,'E-Mixed'!A144," ")</f>
        <v xml:space="preserve"> </v>
      </c>
      <c r="C144" s="25" t="str">
        <f>IF('E-Mixed'!A144&lt;'Adj-Mixed'!$B$10,'E-Mixed'!C144," ")</f>
        <v xml:space="preserve"> </v>
      </c>
      <c r="D144" s="27" t="str">
        <f>IF('E-Mixed'!A144&lt;'Adj-Mixed'!$B$10,'E-Mixed'!G144," ")</f>
        <v xml:space="preserve"> </v>
      </c>
      <c r="E144" s="26" t="str">
        <f>IF('E-Mixed'!A144&lt;'Adj-Mixed'!$B$10,'E-Mixed'!D144," ")</f>
        <v xml:space="preserve"> </v>
      </c>
      <c r="F144" s="216"/>
      <c r="G144" s="216" t="str">
        <f t="shared" si="8"/>
        <v xml:space="preserve"> </v>
      </c>
      <c r="H144" s="27" t="str">
        <f>IF('E-Mixed'!A144&lt;'Adj-Mixed'!$B$10,'E-Mixed'!I144," ")</f>
        <v xml:space="preserve"> </v>
      </c>
      <c r="I144" s="217" t="str">
        <f>IF('E-Mixed'!A144&lt;'Adj-Mixed'!$B$10,'E-Mixed'!A144," ")</f>
        <v xml:space="preserve"> </v>
      </c>
      <c r="J144" s="25" t="str">
        <f>IF('E-Mixed'!A144&lt;'Adj-Mixed'!$B$10,'E-Mixed'!J144," ")</f>
        <v xml:space="preserve"> </v>
      </c>
      <c r="K144" s="27" t="str">
        <f>IF('E-Mixed'!A144&lt;'Adj-Mixed'!$B$10,'E-Mixed'!N144," ")</f>
        <v xml:space="preserve"> </v>
      </c>
      <c r="L144" s="26" t="str">
        <f>IF('E-Mixed'!A144&lt;'Adj-Mixed'!$B$10,'E-Mixed'!K144," ")</f>
        <v xml:space="preserve"> </v>
      </c>
      <c r="M144" s="30" t="str">
        <f>IF('E-Mixed'!A144&lt;'Adj-Mixed'!$B$10,'E-Mixed'!M144," ")</f>
        <v xml:space="preserve"> </v>
      </c>
      <c r="N144" t="str">
        <f>IF('E-Mixed'!A144&lt;'Adj-Mixed'!$B$10,1/L144," ")</f>
        <v xml:space="preserve"> </v>
      </c>
      <c r="O144" s="19"/>
      <c r="P144" t="str">
        <f t="shared" si="10"/>
        <v/>
      </c>
      <c r="Q144" t="str">
        <f t="shared" si="11"/>
        <v/>
      </c>
      <c r="R144" s="100" t="str">
        <f t="shared" si="9"/>
        <v/>
      </c>
    </row>
    <row r="145" spans="1:18" x14ac:dyDescent="0.25">
      <c r="A145" s="27" t="str">
        <f>IF('E-Mixed'!A145&lt;'Adj-Mixed'!$B$10,'E-Mixed'!B145," ")</f>
        <v xml:space="preserve"> </v>
      </c>
      <c r="B145" s="217" t="str">
        <f>IF('E-Mixed'!A145&lt;'Adj-Mixed'!$B$10,'E-Mixed'!A145," ")</f>
        <v xml:space="preserve"> </v>
      </c>
      <c r="C145" s="25" t="str">
        <f>IF('E-Mixed'!A145&lt;'Adj-Mixed'!$B$10,'E-Mixed'!C145," ")</f>
        <v xml:space="preserve"> </v>
      </c>
      <c r="D145" s="27" t="str">
        <f>IF('E-Mixed'!A145&lt;'Adj-Mixed'!$B$10,'E-Mixed'!G145," ")</f>
        <v xml:space="preserve"> </v>
      </c>
      <c r="E145" s="26" t="str">
        <f>IF('E-Mixed'!A145&lt;'Adj-Mixed'!$B$10,'E-Mixed'!D145," ")</f>
        <v xml:space="preserve"> </v>
      </c>
      <c r="F145" s="216"/>
      <c r="G145" s="216" t="str">
        <f t="shared" si="8"/>
        <v xml:space="preserve"> </v>
      </c>
      <c r="H145" s="27" t="str">
        <f>IF('E-Mixed'!A145&lt;'Adj-Mixed'!$B$10,'E-Mixed'!I145," ")</f>
        <v xml:space="preserve"> </v>
      </c>
      <c r="I145" s="217" t="str">
        <f>IF('E-Mixed'!A145&lt;'Adj-Mixed'!$B$10,'E-Mixed'!A145," ")</f>
        <v xml:space="preserve"> </v>
      </c>
      <c r="J145" s="25" t="str">
        <f>IF('E-Mixed'!A145&lt;'Adj-Mixed'!$B$10,'E-Mixed'!J145," ")</f>
        <v xml:space="preserve"> </v>
      </c>
      <c r="K145" s="27" t="str">
        <f>IF('E-Mixed'!A145&lt;'Adj-Mixed'!$B$10,'E-Mixed'!N145," ")</f>
        <v xml:space="preserve"> </v>
      </c>
      <c r="L145" s="26" t="str">
        <f>IF('E-Mixed'!A145&lt;'Adj-Mixed'!$B$10,'E-Mixed'!K145," ")</f>
        <v xml:space="preserve"> </v>
      </c>
      <c r="M145" s="30" t="str">
        <f>IF('E-Mixed'!A145&lt;'Adj-Mixed'!$B$10,'E-Mixed'!M145," ")</f>
        <v xml:space="preserve"> </v>
      </c>
      <c r="N145" t="str">
        <f>IF('E-Mixed'!A145&lt;'Adj-Mixed'!$B$10,1/L145," ")</f>
        <v xml:space="preserve"> </v>
      </c>
      <c r="O145" s="19"/>
      <c r="P145" t="str">
        <f t="shared" si="10"/>
        <v/>
      </c>
      <c r="Q145" t="str">
        <f t="shared" si="11"/>
        <v/>
      </c>
      <c r="R145" s="100" t="str">
        <f t="shared" si="9"/>
        <v/>
      </c>
    </row>
    <row r="146" spans="1:18" x14ac:dyDescent="0.25">
      <c r="A146" s="27" t="str">
        <f>IF('E-Mixed'!A146&lt;'Adj-Mixed'!$B$10,'E-Mixed'!B146," ")</f>
        <v xml:space="preserve"> </v>
      </c>
      <c r="B146" s="217" t="str">
        <f>IF('E-Mixed'!A146&lt;'Adj-Mixed'!$B$10,'E-Mixed'!A146," ")</f>
        <v xml:space="preserve"> </v>
      </c>
      <c r="C146" s="25" t="str">
        <f>IF('E-Mixed'!A146&lt;'Adj-Mixed'!$B$10,'E-Mixed'!C146," ")</f>
        <v xml:space="preserve"> </v>
      </c>
      <c r="D146" s="27" t="str">
        <f>IF('E-Mixed'!A146&lt;'Adj-Mixed'!$B$10,'E-Mixed'!G146," ")</f>
        <v xml:space="preserve"> </v>
      </c>
      <c r="E146" s="26" t="str">
        <f>IF('E-Mixed'!A146&lt;'Adj-Mixed'!$B$10,'E-Mixed'!D146," ")</f>
        <v xml:space="preserve"> </v>
      </c>
      <c r="F146" s="216"/>
      <c r="G146" s="216" t="str">
        <f t="shared" si="8"/>
        <v xml:space="preserve"> </v>
      </c>
      <c r="H146" s="27" t="str">
        <f>IF('E-Mixed'!A146&lt;'Adj-Mixed'!$B$10,'E-Mixed'!I146," ")</f>
        <v xml:space="preserve"> </v>
      </c>
      <c r="I146" s="217" t="str">
        <f>IF('E-Mixed'!A146&lt;'Adj-Mixed'!$B$10,'E-Mixed'!A146," ")</f>
        <v xml:space="preserve"> </v>
      </c>
      <c r="J146" s="25" t="str">
        <f>IF('E-Mixed'!A146&lt;'Adj-Mixed'!$B$10,'E-Mixed'!J146," ")</f>
        <v xml:space="preserve"> </v>
      </c>
      <c r="K146" s="27" t="str">
        <f>IF('E-Mixed'!A146&lt;'Adj-Mixed'!$B$10,'E-Mixed'!N146," ")</f>
        <v xml:space="preserve"> </v>
      </c>
      <c r="L146" s="26" t="str">
        <f>IF('E-Mixed'!A146&lt;'Adj-Mixed'!$B$10,'E-Mixed'!K146," ")</f>
        <v xml:space="preserve"> </v>
      </c>
      <c r="M146" s="30" t="str">
        <f>IF('E-Mixed'!A146&lt;'Adj-Mixed'!$B$10,'E-Mixed'!M146," ")</f>
        <v xml:space="preserve"> </v>
      </c>
      <c r="N146" t="str">
        <f>IF('E-Mixed'!A146&lt;'Adj-Mixed'!$B$10,1/L146," ")</f>
        <v xml:space="preserve"> </v>
      </c>
      <c r="O146" s="19"/>
      <c r="P146" t="str">
        <f t="shared" si="10"/>
        <v/>
      </c>
      <c r="Q146" t="str">
        <f t="shared" si="11"/>
        <v/>
      </c>
      <c r="R146" s="100" t="str">
        <f t="shared" si="9"/>
        <v/>
      </c>
    </row>
    <row r="147" spans="1:18" x14ac:dyDescent="0.25">
      <c r="A147" s="27" t="str">
        <f>IF('E-Mixed'!A147&lt;'Adj-Mixed'!$B$10,'E-Mixed'!B147," ")</f>
        <v xml:space="preserve"> </v>
      </c>
      <c r="B147" s="217" t="str">
        <f>IF('E-Mixed'!A147&lt;'Adj-Mixed'!$B$10,'E-Mixed'!A147," ")</f>
        <v xml:space="preserve"> </v>
      </c>
      <c r="C147" s="25" t="str">
        <f>IF('E-Mixed'!A147&lt;'Adj-Mixed'!$B$10,'E-Mixed'!C147," ")</f>
        <v xml:space="preserve"> </v>
      </c>
      <c r="D147" s="27" t="str">
        <f>IF('E-Mixed'!A147&lt;'Adj-Mixed'!$B$10,'E-Mixed'!G147," ")</f>
        <v xml:space="preserve"> </v>
      </c>
      <c r="E147" s="26" t="str">
        <f>IF('E-Mixed'!A147&lt;'Adj-Mixed'!$B$10,'E-Mixed'!D147," ")</f>
        <v xml:space="preserve"> </v>
      </c>
      <c r="F147" s="216"/>
      <c r="G147" s="216" t="str">
        <f t="shared" si="8"/>
        <v xml:space="preserve"> </v>
      </c>
      <c r="H147" s="27" t="str">
        <f>IF('E-Mixed'!A147&lt;'Adj-Mixed'!$B$10,'E-Mixed'!I147," ")</f>
        <v xml:space="preserve"> </v>
      </c>
      <c r="I147" s="217" t="str">
        <f>IF('E-Mixed'!A147&lt;'Adj-Mixed'!$B$10,'E-Mixed'!A147," ")</f>
        <v xml:space="preserve"> </v>
      </c>
      <c r="J147" s="25" t="str">
        <f>IF('E-Mixed'!A147&lt;'Adj-Mixed'!$B$10,'E-Mixed'!J147," ")</f>
        <v xml:space="preserve"> </v>
      </c>
      <c r="K147" s="27" t="str">
        <f>IF('E-Mixed'!A147&lt;'Adj-Mixed'!$B$10,'E-Mixed'!N147," ")</f>
        <v xml:space="preserve"> </v>
      </c>
      <c r="L147" s="26" t="str">
        <f>IF('E-Mixed'!A147&lt;'Adj-Mixed'!$B$10,'E-Mixed'!K147," ")</f>
        <v xml:space="preserve"> </v>
      </c>
      <c r="M147" s="30" t="str">
        <f>IF('E-Mixed'!A147&lt;'Adj-Mixed'!$B$10,'E-Mixed'!M147," ")</f>
        <v xml:space="preserve"> </v>
      </c>
      <c r="N147" t="str">
        <f>IF('E-Mixed'!A147&lt;'Adj-Mixed'!$B$10,1/L147," ")</f>
        <v xml:space="preserve"> </v>
      </c>
      <c r="O147" s="19"/>
      <c r="P147" t="str">
        <f t="shared" si="10"/>
        <v/>
      </c>
      <c r="Q147" t="str">
        <f t="shared" si="11"/>
        <v/>
      </c>
      <c r="R147" s="100" t="str">
        <f t="shared" si="9"/>
        <v/>
      </c>
    </row>
    <row r="148" spans="1:18" x14ac:dyDescent="0.25">
      <c r="A148" s="27" t="str">
        <f>IF('E-Mixed'!A148&lt;'Adj-Mixed'!$B$10,'E-Mixed'!B148," ")</f>
        <v xml:space="preserve"> </v>
      </c>
      <c r="B148" s="217" t="str">
        <f>IF('E-Mixed'!A148&lt;'Adj-Mixed'!$B$10,'E-Mixed'!A148," ")</f>
        <v xml:space="preserve"> </v>
      </c>
      <c r="C148" s="25" t="str">
        <f>IF('E-Mixed'!A148&lt;'Adj-Mixed'!$B$10,'E-Mixed'!C148," ")</f>
        <v xml:space="preserve"> </v>
      </c>
      <c r="D148" s="27" t="str">
        <f>IF('E-Mixed'!A148&lt;'Adj-Mixed'!$B$10,'E-Mixed'!G148," ")</f>
        <v xml:space="preserve"> </v>
      </c>
      <c r="E148" s="26" t="str">
        <f>IF('E-Mixed'!A148&lt;'Adj-Mixed'!$B$10,'E-Mixed'!D148," ")</f>
        <v xml:space="preserve"> </v>
      </c>
      <c r="F148" s="216"/>
      <c r="G148" s="216" t="str">
        <f t="shared" si="8"/>
        <v xml:space="preserve"> </v>
      </c>
      <c r="H148" s="27" t="str">
        <f>IF('E-Mixed'!A148&lt;'Adj-Mixed'!$B$10,'E-Mixed'!I148," ")</f>
        <v xml:space="preserve"> </v>
      </c>
      <c r="I148" s="217" t="str">
        <f>IF('E-Mixed'!A148&lt;'Adj-Mixed'!$B$10,'E-Mixed'!A148," ")</f>
        <v xml:space="preserve"> </v>
      </c>
      <c r="J148" s="25" t="str">
        <f>IF('E-Mixed'!A148&lt;'Adj-Mixed'!$B$10,'E-Mixed'!J148," ")</f>
        <v xml:space="preserve"> </v>
      </c>
      <c r="K148" s="27" t="str">
        <f>IF('E-Mixed'!A148&lt;'Adj-Mixed'!$B$10,'E-Mixed'!N148," ")</f>
        <v xml:space="preserve"> </v>
      </c>
      <c r="L148" s="26" t="str">
        <f>IF('E-Mixed'!A148&lt;'Adj-Mixed'!$B$10,'E-Mixed'!K148," ")</f>
        <v xml:space="preserve"> </v>
      </c>
      <c r="M148" s="30" t="str">
        <f>IF('E-Mixed'!A148&lt;'Adj-Mixed'!$B$10,'E-Mixed'!M148," ")</f>
        <v xml:space="preserve"> </v>
      </c>
      <c r="N148" t="str">
        <f>IF('E-Mixed'!A148&lt;'Adj-Mixed'!$B$10,1/L148," ")</f>
        <v xml:space="preserve"> </v>
      </c>
      <c r="O148" s="19"/>
      <c r="P148" t="str">
        <f t="shared" si="10"/>
        <v/>
      </c>
      <c r="Q148" t="str">
        <f t="shared" si="11"/>
        <v/>
      </c>
      <c r="R148" s="100" t="str">
        <f t="shared" si="9"/>
        <v/>
      </c>
    </row>
    <row r="149" spans="1:18" x14ac:dyDescent="0.25">
      <c r="A149" s="27" t="str">
        <f>IF('E-Mixed'!A149&lt;'Adj-Mixed'!$B$10,'E-Mixed'!B149," ")</f>
        <v xml:space="preserve"> </v>
      </c>
      <c r="B149" s="217" t="str">
        <f>IF('E-Mixed'!A149&lt;'Adj-Mixed'!$B$10,'E-Mixed'!A149," ")</f>
        <v xml:space="preserve"> </v>
      </c>
      <c r="C149" s="25" t="str">
        <f>IF('E-Mixed'!A149&lt;'Adj-Mixed'!$B$10,'E-Mixed'!C149," ")</f>
        <v xml:space="preserve"> </v>
      </c>
      <c r="D149" s="27" t="str">
        <f>IF('E-Mixed'!A149&lt;'Adj-Mixed'!$B$10,'E-Mixed'!G149," ")</f>
        <v xml:space="preserve"> </v>
      </c>
      <c r="E149" s="26" t="str">
        <f>IF('E-Mixed'!A149&lt;'Adj-Mixed'!$B$10,'E-Mixed'!D149," ")</f>
        <v xml:space="preserve"> </v>
      </c>
      <c r="F149" s="216"/>
      <c r="G149" s="216" t="str">
        <f t="shared" si="8"/>
        <v xml:space="preserve"> </v>
      </c>
      <c r="H149" s="27" t="str">
        <f>IF('E-Mixed'!A149&lt;'Adj-Mixed'!$B$10,'E-Mixed'!I149," ")</f>
        <v xml:space="preserve"> </v>
      </c>
      <c r="I149" s="217" t="str">
        <f>IF('E-Mixed'!A149&lt;'Adj-Mixed'!$B$10,'E-Mixed'!A149," ")</f>
        <v xml:space="preserve"> </v>
      </c>
      <c r="J149" s="25" t="str">
        <f>IF('E-Mixed'!A149&lt;'Adj-Mixed'!$B$10,'E-Mixed'!J149," ")</f>
        <v xml:space="preserve"> </v>
      </c>
      <c r="K149" s="27" t="str">
        <f>IF('E-Mixed'!A149&lt;'Adj-Mixed'!$B$10,'E-Mixed'!N149," ")</f>
        <v xml:space="preserve"> </v>
      </c>
      <c r="L149" s="26" t="str">
        <f>IF('E-Mixed'!A149&lt;'Adj-Mixed'!$B$10,'E-Mixed'!K149," ")</f>
        <v xml:space="preserve"> </v>
      </c>
      <c r="M149" s="30" t="str">
        <f>IF('E-Mixed'!A149&lt;'Adj-Mixed'!$B$10,'E-Mixed'!M149," ")</f>
        <v xml:space="preserve"> </v>
      </c>
      <c r="N149" t="str">
        <f>IF('E-Mixed'!A149&lt;'Adj-Mixed'!$B$10,1/L149," ")</f>
        <v xml:space="preserve"> </v>
      </c>
      <c r="O149" s="19"/>
      <c r="P149" t="str">
        <f t="shared" si="10"/>
        <v/>
      </c>
      <c r="Q149" t="str">
        <f t="shared" si="11"/>
        <v/>
      </c>
      <c r="R149" s="100" t="str">
        <f t="shared" si="9"/>
        <v/>
      </c>
    </row>
    <row r="150" spans="1:18" x14ac:dyDescent="0.25">
      <c r="A150" s="27" t="str">
        <f>IF('E-Mixed'!A150&lt;'Adj-Mixed'!$B$10,'E-Mixed'!B150," ")</f>
        <v xml:space="preserve"> </v>
      </c>
      <c r="B150" s="217" t="str">
        <f>IF('E-Mixed'!A150&lt;'Adj-Mixed'!$B$10,'E-Mixed'!A150," ")</f>
        <v xml:space="preserve"> </v>
      </c>
      <c r="C150" s="25" t="str">
        <f>IF('E-Mixed'!A150&lt;'Adj-Mixed'!$B$10,'E-Mixed'!C150," ")</f>
        <v xml:space="preserve"> </v>
      </c>
      <c r="D150" s="27" t="str">
        <f>IF('E-Mixed'!A150&lt;'Adj-Mixed'!$B$10,'E-Mixed'!G150," ")</f>
        <v xml:space="preserve"> </v>
      </c>
      <c r="E150" s="26" t="str">
        <f>IF('E-Mixed'!A150&lt;'Adj-Mixed'!$B$10,'E-Mixed'!D150," ")</f>
        <v xml:space="preserve"> </v>
      </c>
      <c r="F150" s="216"/>
      <c r="G150" s="216" t="str">
        <f t="shared" si="8"/>
        <v xml:space="preserve"> </v>
      </c>
      <c r="H150" s="27" t="str">
        <f>IF('E-Mixed'!A150&lt;'Adj-Mixed'!$B$10,'E-Mixed'!I150," ")</f>
        <v xml:space="preserve"> </v>
      </c>
      <c r="I150" s="217" t="str">
        <f>IF('E-Mixed'!A150&lt;'Adj-Mixed'!$B$10,'E-Mixed'!A150," ")</f>
        <v xml:space="preserve"> </v>
      </c>
      <c r="J150" s="25" t="str">
        <f>IF('E-Mixed'!A150&lt;'Adj-Mixed'!$B$10,'E-Mixed'!J150," ")</f>
        <v xml:space="preserve"> </v>
      </c>
      <c r="K150" s="27" t="str">
        <f>IF('E-Mixed'!A150&lt;'Adj-Mixed'!$B$10,'E-Mixed'!N150," ")</f>
        <v xml:space="preserve"> </v>
      </c>
      <c r="L150" s="26" t="str">
        <f>IF('E-Mixed'!A150&lt;'Adj-Mixed'!$B$10,'E-Mixed'!K150," ")</f>
        <v xml:space="preserve"> </v>
      </c>
      <c r="M150" s="30" t="str">
        <f>IF('E-Mixed'!A150&lt;'Adj-Mixed'!$B$10,'E-Mixed'!M150," ")</f>
        <v xml:space="preserve"> </v>
      </c>
      <c r="N150" t="str">
        <f>IF('E-Mixed'!A150&lt;'Adj-Mixed'!$B$10,1/L150," ")</f>
        <v xml:space="preserve"> </v>
      </c>
      <c r="O150" s="19"/>
      <c r="P150" t="str">
        <f t="shared" si="10"/>
        <v/>
      </c>
      <c r="Q150" t="str">
        <f t="shared" si="11"/>
        <v/>
      </c>
      <c r="R150" s="100" t="str">
        <f t="shared" si="9"/>
        <v/>
      </c>
    </row>
    <row r="151" spans="1:18" x14ac:dyDescent="0.25">
      <c r="A151" s="27" t="str">
        <f>IF('E-Mixed'!A151&lt;'Adj-Mixed'!$B$10,'E-Mixed'!B151," ")</f>
        <v xml:space="preserve"> </v>
      </c>
      <c r="B151" s="217" t="str">
        <f>IF('E-Mixed'!A151&lt;'Adj-Mixed'!$B$10,'E-Mixed'!A151," ")</f>
        <v xml:space="preserve"> </v>
      </c>
      <c r="C151" s="25" t="str">
        <f>IF('E-Mixed'!A151&lt;'Adj-Mixed'!$B$10,'E-Mixed'!C151," ")</f>
        <v xml:space="preserve"> </v>
      </c>
      <c r="D151" s="27" t="str">
        <f>IF('E-Mixed'!A151&lt;'Adj-Mixed'!$B$10,'E-Mixed'!G151," ")</f>
        <v xml:space="preserve"> </v>
      </c>
      <c r="E151" s="26" t="str">
        <f>IF('E-Mixed'!A151&lt;'Adj-Mixed'!$B$10,'E-Mixed'!D151," ")</f>
        <v xml:space="preserve"> </v>
      </c>
      <c r="F151" s="216"/>
      <c r="G151" s="216" t="str">
        <f t="shared" si="8"/>
        <v xml:space="preserve"> </v>
      </c>
      <c r="H151" s="27" t="str">
        <f>IF('E-Mixed'!A151&lt;'Adj-Mixed'!$B$10,'E-Mixed'!I151," ")</f>
        <v xml:space="preserve"> </v>
      </c>
      <c r="I151" s="217" t="str">
        <f>IF('E-Mixed'!A151&lt;'Adj-Mixed'!$B$10,'E-Mixed'!A151," ")</f>
        <v xml:space="preserve"> </v>
      </c>
      <c r="J151" s="25" t="str">
        <f>IF('E-Mixed'!A151&lt;'Adj-Mixed'!$B$10,'E-Mixed'!J151," ")</f>
        <v xml:space="preserve"> </v>
      </c>
      <c r="K151" s="27" t="str">
        <f>IF('E-Mixed'!A151&lt;'Adj-Mixed'!$B$10,'E-Mixed'!N151," ")</f>
        <v xml:space="preserve"> </v>
      </c>
      <c r="L151" s="26" t="str">
        <f>IF('E-Mixed'!A151&lt;'Adj-Mixed'!$B$10,'E-Mixed'!K151," ")</f>
        <v xml:space="preserve"> </v>
      </c>
      <c r="M151" s="30" t="str">
        <f>IF('E-Mixed'!A151&lt;'Adj-Mixed'!$B$10,'E-Mixed'!M151," ")</f>
        <v xml:space="preserve"> </v>
      </c>
      <c r="N151" t="str">
        <f>IF('E-Mixed'!A151&lt;'Adj-Mixed'!$B$10,1/L151," ")</f>
        <v xml:space="preserve"> </v>
      </c>
      <c r="O151" s="19"/>
      <c r="P151" t="str">
        <f t="shared" si="10"/>
        <v/>
      </c>
      <c r="Q151" t="str">
        <f t="shared" si="11"/>
        <v/>
      </c>
      <c r="R151" s="100" t="str">
        <f t="shared" si="9"/>
        <v/>
      </c>
    </row>
    <row r="152" spans="1:18" x14ac:dyDescent="0.25">
      <c r="A152" s="27" t="str">
        <f>IF('E-Mixed'!A152&lt;'Adj-Mixed'!$B$10,'E-Mixed'!B152," ")</f>
        <v xml:space="preserve"> </v>
      </c>
      <c r="B152" s="217" t="str">
        <f>IF('E-Mixed'!A152&lt;'Adj-Mixed'!$B$10,'E-Mixed'!A152," ")</f>
        <v xml:space="preserve"> </v>
      </c>
      <c r="C152" s="25" t="str">
        <f>IF('E-Mixed'!A152&lt;'Adj-Mixed'!$B$10,'E-Mixed'!C152," ")</f>
        <v xml:space="preserve"> </v>
      </c>
      <c r="D152" s="27" t="str">
        <f>IF('E-Mixed'!A152&lt;'Adj-Mixed'!$B$10,'E-Mixed'!G152," ")</f>
        <v xml:space="preserve"> </v>
      </c>
      <c r="E152" s="26" t="str">
        <f>IF('E-Mixed'!A152&lt;'Adj-Mixed'!$B$10,'E-Mixed'!D152," ")</f>
        <v xml:space="preserve"> </v>
      </c>
      <c r="F152" s="216"/>
      <c r="G152" s="216" t="str">
        <f t="shared" si="8"/>
        <v xml:space="preserve"> </v>
      </c>
      <c r="H152" s="27" t="str">
        <f>IF('E-Mixed'!A152&lt;'Adj-Mixed'!$B$10,'E-Mixed'!I152," ")</f>
        <v xml:space="preserve"> </v>
      </c>
      <c r="I152" s="217" t="str">
        <f>IF('E-Mixed'!A152&lt;'Adj-Mixed'!$B$10,'E-Mixed'!A152," ")</f>
        <v xml:space="preserve"> </v>
      </c>
      <c r="J152" s="25" t="str">
        <f>IF('E-Mixed'!A152&lt;'Adj-Mixed'!$B$10,'E-Mixed'!J152," ")</f>
        <v xml:space="preserve"> </v>
      </c>
      <c r="K152" s="27" t="str">
        <f>IF('E-Mixed'!A152&lt;'Adj-Mixed'!$B$10,'E-Mixed'!N152," ")</f>
        <v xml:space="preserve"> </v>
      </c>
      <c r="L152" s="26" t="str">
        <f>IF('E-Mixed'!A152&lt;'Adj-Mixed'!$B$10,'E-Mixed'!K152," ")</f>
        <v xml:space="preserve"> </v>
      </c>
      <c r="M152" s="30" t="str">
        <f>IF('E-Mixed'!A152&lt;'Adj-Mixed'!$B$10,'E-Mixed'!M152," ")</f>
        <v xml:space="preserve"> </v>
      </c>
      <c r="N152" t="str">
        <f>IF('E-Mixed'!A152&lt;'Adj-Mixed'!$B$10,1/L152," ")</f>
        <v xml:space="preserve"> </v>
      </c>
      <c r="O152" s="19"/>
      <c r="P152" t="str">
        <f t="shared" si="10"/>
        <v/>
      </c>
      <c r="Q152" t="str">
        <f t="shared" si="11"/>
        <v/>
      </c>
      <c r="R152" s="100" t="str">
        <f t="shared" si="9"/>
        <v/>
      </c>
    </row>
    <row r="153" spans="1:18" x14ac:dyDescent="0.25">
      <c r="A153" s="27" t="str">
        <f>IF('E-Mixed'!A153&lt;'Adj-Mixed'!$B$10,'E-Mixed'!B153," ")</f>
        <v xml:space="preserve"> </v>
      </c>
      <c r="B153" s="217" t="str">
        <f>IF('E-Mixed'!A153&lt;'Adj-Mixed'!$B$10,'E-Mixed'!A153," ")</f>
        <v xml:space="preserve"> </v>
      </c>
      <c r="C153" s="25" t="str">
        <f>IF('E-Mixed'!A153&lt;'Adj-Mixed'!$B$10,'E-Mixed'!C153," ")</f>
        <v xml:space="preserve"> </v>
      </c>
      <c r="D153" s="27" t="str">
        <f>IF('E-Mixed'!A153&lt;'Adj-Mixed'!$B$10,'E-Mixed'!G153," ")</f>
        <v xml:space="preserve"> </v>
      </c>
      <c r="E153" s="26" t="str">
        <f>IF('E-Mixed'!A153&lt;'Adj-Mixed'!$B$10,'E-Mixed'!D153," ")</f>
        <v xml:space="preserve"> </v>
      </c>
      <c r="F153" s="216"/>
      <c r="G153" s="216" t="str">
        <f t="shared" si="8"/>
        <v xml:space="preserve"> </v>
      </c>
      <c r="H153" s="27" t="str">
        <f>IF('E-Mixed'!A153&lt;'Adj-Mixed'!$B$10,'E-Mixed'!I153," ")</f>
        <v xml:space="preserve"> </v>
      </c>
      <c r="I153" s="217" t="str">
        <f>IF('E-Mixed'!A153&lt;'Adj-Mixed'!$B$10,'E-Mixed'!A153," ")</f>
        <v xml:space="preserve"> </v>
      </c>
      <c r="J153" s="25" t="str">
        <f>IF('E-Mixed'!A153&lt;'Adj-Mixed'!$B$10,'E-Mixed'!J153," ")</f>
        <v xml:space="preserve"> </v>
      </c>
      <c r="K153" s="27" t="str">
        <f>IF('E-Mixed'!A153&lt;'Adj-Mixed'!$B$10,'E-Mixed'!N153," ")</f>
        <v xml:space="preserve"> </v>
      </c>
      <c r="L153" s="26" t="str">
        <f>IF('E-Mixed'!A153&lt;'Adj-Mixed'!$B$10,'E-Mixed'!K153," ")</f>
        <v xml:space="preserve"> </v>
      </c>
      <c r="M153" s="30" t="str">
        <f>IF('E-Mixed'!A153&lt;'Adj-Mixed'!$B$10,'E-Mixed'!M153," ")</f>
        <v xml:space="preserve"> </v>
      </c>
      <c r="N153" t="str">
        <f>IF('E-Mixed'!A153&lt;'Adj-Mixed'!$B$10,1/L153," ")</f>
        <v xml:space="preserve"> </v>
      </c>
      <c r="O153" s="19"/>
      <c r="P153" t="str">
        <f t="shared" si="10"/>
        <v/>
      </c>
      <c r="Q153" t="str">
        <f t="shared" si="11"/>
        <v/>
      </c>
      <c r="R153" s="100" t="str">
        <f t="shared" si="9"/>
        <v/>
      </c>
    </row>
    <row r="154" spans="1:18" x14ac:dyDescent="0.25">
      <c r="A154" s="27" t="str">
        <f>IF('E-Mixed'!A154&lt;'Adj-Mixed'!$B$10,'E-Mixed'!B154," ")</f>
        <v xml:space="preserve"> </v>
      </c>
      <c r="B154" s="217" t="str">
        <f>IF('E-Mixed'!A154&lt;'Adj-Mixed'!$B$10,'E-Mixed'!A154," ")</f>
        <v xml:space="preserve"> </v>
      </c>
      <c r="C154" s="25" t="str">
        <f>IF('E-Mixed'!A154&lt;'Adj-Mixed'!$B$10,'E-Mixed'!C154," ")</f>
        <v xml:space="preserve"> </v>
      </c>
      <c r="D154" s="27" t="str">
        <f>IF('E-Mixed'!A154&lt;'Adj-Mixed'!$B$10,'E-Mixed'!G154," ")</f>
        <v xml:space="preserve"> </v>
      </c>
      <c r="E154" s="26" t="str">
        <f>IF('E-Mixed'!A154&lt;'Adj-Mixed'!$B$10,'E-Mixed'!D154," ")</f>
        <v xml:space="preserve"> </v>
      </c>
      <c r="F154" s="216"/>
      <c r="G154" s="216" t="str">
        <f t="shared" si="8"/>
        <v xml:space="preserve"> </v>
      </c>
      <c r="H154" s="27" t="str">
        <f>IF('E-Mixed'!A154&lt;'Adj-Mixed'!$B$10,'E-Mixed'!I154," ")</f>
        <v xml:space="preserve"> </v>
      </c>
      <c r="I154" s="217" t="str">
        <f>IF('E-Mixed'!A154&lt;'Adj-Mixed'!$B$10,'E-Mixed'!A154," ")</f>
        <v xml:space="preserve"> </v>
      </c>
      <c r="J154" s="25" t="str">
        <f>IF('E-Mixed'!A154&lt;'Adj-Mixed'!$B$10,'E-Mixed'!J154," ")</f>
        <v xml:space="preserve"> </v>
      </c>
      <c r="K154" s="27" t="str">
        <f>IF('E-Mixed'!A154&lt;'Adj-Mixed'!$B$10,'E-Mixed'!N154," ")</f>
        <v xml:space="preserve"> </v>
      </c>
      <c r="L154" s="26" t="str">
        <f>IF('E-Mixed'!A154&lt;'Adj-Mixed'!$B$10,'E-Mixed'!K154," ")</f>
        <v xml:space="preserve"> </v>
      </c>
      <c r="M154" s="30" t="str">
        <f>IF('E-Mixed'!A154&lt;'Adj-Mixed'!$B$10,'E-Mixed'!M154," ")</f>
        <v xml:space="preserve"> </v>
      </c>
      <c r="N154" t="str">
        <f>IF('E-Mixed'!A154&lt;'Adj-Mixed'!$B$10,1/L154," ")</f>
        <v xml:space="preserve"> </v>
      </c>
      <c r="O154" s="19"/>
      <c r="P154" t="str">
        <f t="shared" si="10"/>
        <v/>
      </c>
      <c r="Q154" t="str">
        <f t="shared" si="11"/>
        <v/>
      </c>
      <c r="R154" s="100" t="str">
        <f t="shared" si="9"/>
        <v/>
      </c>
    </row>
    <row r="155" spans="1:18" x14ac:dyDescent="0.25">
      <c r="A155" s="27" t="str">
        <f>IF('E-Mixed'!A155&lt;'Adj-Mixed'!$B$10,'E-Mixed'!B155," ")</f>
        <v xml:space="preserve"> </v>
      </c>
      <c r="B155" s="217" t="str">
        <f>IF('E-Mixed'!A155&lt;'Adj-Mixed'!$B$10,'E-Mixed'!A155," ")</f>
        <v xml:space="preserve"> </v>
      </c>
      <c r="C155" s="25" t="str">
        <f>IF('E-Mixed'!A155&lt;'Adj-Mixed'!$B$10,'E-Mixed'!C155," ")</f>
        <v xml:space="preserve"> </v>
      </c>
      <c r="D155" s="27" t="str">
        <f>IF('E-Mixed'!A155&lt;'Adj-Mixed'!$B$10,'E-Mixed'!G155," ")</f>
        <v xml:space="preserve"> </v>
      </c>
      <c r="E155" s="26" t="str">
        <f>IF('E-Mixed'!A155&lt;'Adj-Mixed'!$B$10,'E-Mixed'!D155," ")</f>
        <v xml:space="preserve"> </v>
      </c>
      <c r="F155" s="216"/>
      <c r="G155" s="216" t="str">
        <f t="shared" si="8"/>
        <v xml:space="preserve"> </v>
      </c>
      <c r="H155" s="27" t="str">
        <f>IF('E-Mixed'!A155&lt;'Adj-Mixed'!$B$10,'E-Mixed'!I155," ")</f>
        <v xml:space="preserve"> </v>
      </c>
      <c r="I155" s="217" t="str">
        <f>IF('E-Mixed'!A155&lt;'Adj-Mixed'!$B$10,'E-Mixed'!A155," ")</f>
        <v xml:space="preserve"> </v>
      </c>
      <c r="J155" s="25" t="str">
        <f>IF('E-Mixed'!A155&lt;'Adj-Mixed'!$B$10,'E-Mixed'!J155," ")</f>
        <v xml:space="preserve"> </v>
      </c>
      <c r="K155" s="27" t="str">
        <f>IF('E-Mixed'!A155&lt;'Adj-Mixed'!$B$10,'E-Mixed'!N155," ")</f>
        <v xml:space="preserve"> </v>
      </c>
      <c r="L155" s="26" t="str">
        <f>IF('E-Mixed'!A155&lt;'Adj-Mixed'!$B$10,'E-Mixed'!K155," ")</f>
        <v xml:space="preserve"> </v>
      </c>
      <c r="M155" s="30" t="str">
        <f>IF('E-Mixed'!A155&lt;'Adj-Mixed'!$B$10,'E-Mixed'!M155," ")</f>
        <v xml:space="preserve"> </v>
      </c>
      <c r="N155" t="str">
        <f>IF('E-Mixed'!A155&lt;'Adj-Mixed'!$B$10,1/L155," ")</f>
        <v xml:space="preserve"> </v>
      </c>
      <c r="O155" s="19"/>
      <c r="P155" t="str">
        <f t="shared" si="10"/>
        <v/>
      </c>
      <c r="Q155" t="str">
        <f t="shared" si="11"/>
        <v/>
      </c>
      <c r="R155" s="100" t="str">
        <f t="shared" si="9"/>
        <v/>
      </c>
    </row>
    <row r="156" spans="1:18" x14ac:dyDescent="0.25">
      <c r="A156" s="27" t="str">
        <f>IF('E-Mixed'!A156&lt;'Adj-Mixed'!$B$10,'E-Mixed'!B156," ")</f>
        <v xml:space="preserve"> </v>
      </c>
      <c r="B156" s="217" t="str">
        <f>IF('E-Mixed'!A156&lt;'Adj-Mixed'!$B$10,'E-Mixed'!A156," ")</f>
        <v xml:space="preserve"> </v>
      </c>
      <c r="C156" s="25" t="str">
        <f>IF('E-Mixed'!A156&lt;'Adj-Mixed'!$B$10,'E-Mixed'!C156," ")</f>
        <v xml:space="preserve"> </v>
      </c>
      <c r="D156" s="27" t="str">
        <f>IF('E-Mixed'!A156&lt;'Adj-Mixed'!$B$10,'E-Mixed'!G156," ")</f>
        <v xml:space="preserve"> </v>
      </c>
      <c r="E156" s="26" t="str">
        <f>IF('E-Mixed'!A156&lt;'Adj-Mixed'!$B$10,'E-Mixed'!D156," ")</f>
        <v xml:space="preserve"> </v>
      </c>
      <c r="F156" s="216"/>
      <c r="G156" s="216" t="str">
        <f t="shared" si="8"/>
        <v xml:space="preserve"> </v>
      </c>
      <c r="H156" s="27" t="str">
        <f>IF('E-Mixed'!A156&lt;'Adj-Mixed'!$B$10,'E-Mixed'!I156," ")</f>
        <v xml:space="preserve"> </v>
      </c>
      <c r="I156" s="217" t="str">
        <f>IF('E-Mixed'!A156&lt;'Adj-Mixed'!$B$10,'E-Mixed'!A156," ")</f>
        <v xml:space="preserve"> </v>
      </c>
      <c r="J156" s="25" t="str">
        <f>IF('E-Mixed'!A156&lt;'Adj-Mixed'!$B$10,'E-Mixed'!J156," ")</f>
        <v xml:space="preserve"> </v>
      </c>
      <c r="K156" s="27" t="str">
        <f>IF('E-Mixed'!A156&lt;'Adj-Mixed'!$B$10,'E-Mixed'!N156," ")</f>
        <v xml:space="preserve"> </v>
      </c>
      <c r="L156" s="26" t="str">
        <f>IF('E-Mixed'!A156&lt;'Adj-Mixed'!$B$10,'E-Mixed'!K156," ")</f>
        <v xml:space="preserve"> </v>
      </c>
      <c r="M156" s="30" t="str">
        <f>IF('E-Mixed'!A156&lt;'Adj-Mixed'!$B$10,'E-Mixed'!M156," ")</f>
        <v xml:space="preserve"> </v>
      </c>
      <c r="N156" t="str">
        <f>IF('E-Mixed'!A156&lt;'Adj-Mixed'!$B$10,1/L156," ")</f>
        <v xml:space="preserve"> </v>
      </c>
      <c r="O156" s="19"/>
      <c r="P156" t="str">
        <f t="shared" si="10"/>
        <v/>
      </c>
      <c r="Q156" t="str">
        <f t="shared" si="11"/>
        <v/>
      </c>
      <c r="R156" s="100" t="str">
        <f t="shared" si="9"/>
        <v/>
      </c>
    </row>
    <row r="157" spans="1:18" x14ac:dyDescent="0.25">
      <c r="A157" s="27" t="str">
        <f>IF('E-Mixed'!A157&lt;'Adj-Mixed'!$B$10,'E-Mixed'!B157," ")</f>
        <v xml:space="preserve"> </v>
      </c>
      <c r="B157" s="217" t="str">
        <f>IF('E-Mixed'!A157&lt;'Adj-Mixed'!$B$10,'E-Mixed'!A157," ")</f>
        <v xml:space="preserve"> </v>
      </c>
      <c r="C157" s="25" t="str">
        <f>IF('E-Mixed'!A157&lt;'Adj-Mixed'!$B$10,'E-Mixed'!C157," ")</f>
        <v xml:space="preserve"> </v>
      </c>
      <c r="D157" s="27" t="str">
        <f>IF('E-Mixed'!A157&lt;'Adj-Mixed'!$B$10,'E-Mixed'!G157," ")</f>
        <v xml:space="preserve"> </v>
      </c>
      <c r="E157" s="26" t="str">
        <f>IF('E-Mixed'!A157&lt;'Adj-Mixed'!$B$10,'E-Mixed'!D157," ")</f>
        <v xml:space="preserve"> </v>
      </c>
      <c r="F157" s="216"/>
      <c r="G157" s="216" t="str">
        <f t="shared" si="8"/>
        <v xml:space="preserve"> </v>
      </c>
      <c r="H157" s="27" t="str">
        <f>IF('E-Mixed'!A157&lt;'Adj-Mixed'!$B$10,'E-Mixed'!I157," ")</f>
        <v xml:space="preserve"> </v>
      </c>
      <c r="I157" s="217" t="str">
        <f>IF('E-Mixed'!A157&lt;'Adj-Mixed'!$B$10,'E-Mixed'!A157," ")</f>
        <v xml:space="preserve"> </v>
      </c>
      <c r="J157" s="25" t="str">
        <f>IF('E-Mixed'!A157&lt;'Adj-Mixed'!$B$10,'E-Mixed'!J157," ")</f>
        <v xml:space="preserve"> </v>
      </c>
      <c r="K157" s="27" t="str">
        <f>IF('E-Mixed'!A157&lt;'Adj-Mixed'!$B$10,'E-Mixed'!N157," ")</f>
        <v xml:space="preserve"> </v>
      </c>
      <c r="L157" s="26" t="str">
        <f>IF('E-Mixed'!A157&lt;'Adj-Mixed'!$B$10,'E-Mixed'!K157," ")</f>
        <v xml:space="preserve"> </v>
      </c>
      <c r="M157" s="30" t="str">
        <f>IF('E-Mixed'!A157&lt;'Adj-Mixed'!$B$10,'E-Mixed'!M157," ")</f>
        <v xml:space="preserve"> </v>
      </c>
      <c r="N157" t="str">
        <f>IF('E-Mixed'!A157&lt;'Adj-Mixed'!$B$10,1/L157," ")</f>
        <v xml:space="preserve"> </v>
      </c>
      <c r="O157" s="19"/>
      <c r="P157" t="str">
        <f t="shared" si="10"/>
        <v/>
      </c>
      <c r="Q157" t="str">
        <f t="shared" si="11"/>
        <v/>
      </c>
      <c r="R157" s="100" t="str">
        <f t="shared" si="9"/>
        <v/>
      </c>
    </row>
    <row r="158" spans="1:18" x14ac:dyDescent="0.25">
      <c r="A158" s="27" t="str">
        <f>IF('E-Mixed'!A158&lt;'Adj-Mixed'!$B$10,'E-Mixed'!B158," ")</f>
        <v xml:space="preserve"> </v>
      </c>
      <c r="B158" s="217" t="str">
        <f>IF('E-Mixed'!A158&lt;'Adj-Mixed'!$B$10,'E-Mixed'!A158," ")</f>
        <v xml:space="preserve"> </v>
      </c>
      <c r="C158" s="25" t="str">
        <f>IF('E-Mixed'!A158&lt;'Adj-Mixed'!$B$10,'E-Mixed'!C158," ")</f>
        <v xml:space="preserve"> </v>
      </c>
      <c r="D158" s="27" t="str">
        <f>IF('E-Mixed'!A158&lt;'Adj-Mixed'!$B$10,'E-Mixed'!G158," ")</f>
        <v xml:space="preserve"> </v>
      </c>
      <c r="E158" s="26" t="str">
        <f>IF('E-Mixed'!A158&lt;'Adj-Mixed'!$B$10,'E-Mixed'!D158," ")</f>
        <v xml:space="preserve"> </v>
      </c>
      <c r="F158" s="216"/>
      <c r="G158" s="216" t="str">
        <f t="shared" si="8"/>
        <v xml:space="preserve"> </v>
      </c>
      <c r="H158" s="27" t="str">
        <f>IF('E-Mixed'!A158&lt;'Adj-Mixed'!$B$10,'E-Mixed'!I158," ")</f>
        <v xml:space="preserve"> </v>
      </c>
      <c r="I158" s="217" t="str">
        <f>IF('E-Mixed'!A158&lt;'Adj-Mixed'!$B$10,'E-Mixed'!A158," ")</f>
        <v xml:space="preserve"> </v>
      </c>
      <c r="J158" s="25" t="str">
        <f>IF('E-Mixed'!A158&lt;'Adj-Mixed'!$B$10,'E-Mixed'!J158," ")</f>
        <v xml:space="preserve"> </v>
      </c>
      <c r="K158" s="27" t="str">
        <f>IF('E-Mixed'!A158&lt;'Adj-Mixed'!$B$10,'E-Mixed'!N158," ")</f>
        <v xml:space="preserve"> </v>
      </c>
      <c r="L158" s="26" t="str">
        <f>IF('E-Mixed'!A158&lt;'Adj-Mixed'!$B$10,'E-Mixed'!K158," ")</f>
        <v xml:space="preserve"> </v>
      </c>
      <c r="M158" s="30" t="str">
        <f>IF('E-Mixed'!A158&lt;'Adj-Mixed'!$B$10,'E-Mixed'!M158," ")</f>
        <v xml:space="preserve"> </v>
      </c>
      <c r="N158" t="str">
        <f>IF('E-Mixed'!A158&lt;'Adj-Mixed'!$B$10,1/L158," ")</f>
        <v xml:space="preserve"> </v>
      </c>
      <c r="O158" s="19"/>
      <c r="P158" t="str">
        <f t="shared" si="10"/>
        <v/>
      </c>
      <c r="Q158" t="str">
        <f t="shared" si="11"/>
        <v/>
      </c>
      <c r="R158" s="100" t="str">
        <f t="shared" si="9"/>
        <v/>
      </c>
    </row>
    <row r="159" spans="1:18" x14ac:dyDescent="0.25">
      <c r="A159" s="27" t="str">
        <f>IF('E-Mixed'!A159&lt;'Adj-Mixed'!$B$10,'E-Mixed'!B159," ")</f>
        <v xml:space="preserve"> </v>
      </c>
      <c r="B159" s="217" t="str">
        <f>IF('E-Mixed'!A159&lt;'Adj-Mixed'!$B$10,'E-Mixed'!A159," ")</f>
        <v xml:space="preserve"> </v>
      </c>
      <c r="C159" s="25" t="str">
        <f>IF('E-Mixed'!A159&lt;'Adj-Mixed'!$B$10,'E-Mixed'!C159," ")</f>
        <v xml:space="preserve"> </v>
      </c>
      <c r="D159" s="27" t="str">
        <f>IF('E-Mixed'!A159&lt;'Adj-Mixed'!$B$10,'E-Mixed'!G159," ")</f>
        <v xml:space="preserve"> </v>
      </c>
      <c r="E159" s="26" t="str">
        <f>IF('E-Mixed'!A159&lt;'Adj-Mixed'!$B$10,'E-Mixed'!D159," ")</f>
        <v xml:space="preserve"> </v>
      </c>
      <c r="F159" s="216"/>
      <c r="G159" s="216" t="str">
        <f t="shared" si="8"/>
        <v xml:space="preserve"> </v>
      </c>
      <c r="H159" s="27" t="str">
        <f>IF('E-Mixed'!A159&lt;'Adj-Mixed'!$B$10,'E-Mixed'!I159," ")</f>
        <v xml:space="preserve"> </v>
      </c>
      <c r="I159" s="217" t="str">
        <f>IF('E-Mixed'!A159&lt;'Adj-Mixed'!$B$10,'E-Mixed'!A159," ")</f>
        <v xml:space="preserve"> </v>
      </c>
      <c r="J159" s="25" t="str">
        <f>IF('E-Mixed'!A159&lt;'Adj-Mixed'!$B$10,'E-Mixed'!J159," ")</f>
        <v xml:space="preserve"> </v>
      </c>
      <c r="K159" s="27" t="str">
        <f>IF('E-Mixed'!A159&lt;'Adj-Mixed'!$B$10,'E-Mixed'!N159," ")</f>
        <v xml:space="preserve"> </v>
      </c>
      <c r="L159" s="26" t="str">
        <f>IF('E-Mixed'!A159&lt;'Adj-Mixed'!$B$10,'E-Mixed'!K159," ")</f>
        <v xml:space="preserve"> </v>
      </c>
      <c r="M159" s="30" t="str">
        <f>IF('E-Mixed'!A159&lt;'Adj-Mixed'!$B$10,'E-Mixed'!M159," ")</f>
        <v xml:space="preserve"> </v>
      </c>
      <c r="N159" t="str">
        <f>IF('E-Mixed'!A159&lt;'Adj-Mixed'!$B$10,1/L159," ")</f>
        <v xml:space="preserve"> </v>
      </c>
      <c r="O159" s="19"/>
      <c r="P159" t="str">
        <f t="shared" si="10"/>
        <v/>
      </c>
      <c r="Q159" t="str">
        <f t="shared" si="11"/>
        <v/>
      </c>
      <c r="R159" s="100" t="str">
        <f t="shared" si="9"/>
        <v/>
      </c>
    </row>
    <row r="160" spans="1:18" x14ac:dyDescent="0.25">
      <c r="A160" s="27" t="str">
        <f>IF('E-Mixed'!A160&lt;'Adj-Mixed'!$B$10,'E-Mixed'!B160," ")</f>
        <v xml:space="preserve"> </v>
      </c>
      <c r="B160" s="217" t="str">
        <f>IF('E-Mixed'!A160&lt;'Adj-Mixed'!$B$10,'E-Mixed'!A160," ")</f>
        <v xml:space="preserve"> </v>
      </c>
      <c r="C160" s="25" t="str">
        <f>IF('E-Mixed'!A160&lt;'Adj-Mixed'!$B$10,'E-Mixed'!C160," ")</f>
        <v xml:space="preserve"> </v>
      </c>
      <c r="D160" s="27" t="str">
        <f>IF('E-Mixed'!A160&lt;'Adj-Mixed'!$B$10,'E-Mixed'!G160," ")</f>
        <v xml:space="preserve"> </v>
      </c>
      <c r="E160" s="26" t="str">
        <f>IF('E-Mixed'!A160&lt;'Adj-Mixed'!$B$10,'E-Mixed'!D160," ")</f>
        <v xml:space="preserve"> </v>
      </c>
      <c r="F160" s="216"/>
      <c r="G160" s="216" t="str">
        <f t="shared" si="8"/>
        <v xml:space="preserve"> </v>
      </c>
      <c r="H160" s="27" t="str">
        <f>IF('E-Mixed'!A160&lt;'Adj-Mixed'!$B$10,'E-Mixed'!I160," ")</f>
        <v xml:space="preserve"> </v>
      </c>
      <c r="I160" s="217" t="str">
        <f>IF('E-Mixed'!A160&lt;'Adj-Mixed'!$B$10,'E-Mixed'!A160," ")</f>
        <v xml:space="preserve"> </v>
      </c>
      <c r="J160" s="25" t="str">
        <f>IF('E-Mixed'!A160&lt;'Adj-Mixed'!$B$10,'E-Mixed'!J160," ")</f>
        <v xml:space="preserve"> </v>
      </c>
      <c r="K160" s="27" t="str">
        <f>IF('E-Mixed'!A160&lt;'Adj-Mixed'!$B$10,'E-Mixed'!N160," ")</f>
        <v xml:space="preserve"> </v>
      </c>
      <c r="L160" s="26" t="str">
        <f>IF('E-Mixed'!A160&lt;'Adj-Mixed'!$B$10,'E-Mixed'!K160," ")</f>
        <v xml:space="preserve"> </v>
      </c>
      <c r="M160" s="30" t="str">
        <f>IF('E-Mixed'!A160&lt;'Adj-Mixed'!$B$10,'E-Mixed'!M160," ")</f>
        <v xml:space="preserve"> </v>
      </c>
      <c r="N160" t="str">
        <f>IF('E-Mixed'!A160&lt;'Adj-Mixed'!$B$10,1/L160," ")</f>
        <v xml:space="preserve"> </v>
      </c>
      <c r="O160" s="19"/>
      <c r="P160" t="str">
        <f t="shared" si="10"/>
        <v/>
      </c>
      <c r="Q160" t="str">
        <f t="shared" si="11"/>
        <v/>
      </c>
      <c r="R160" s="100" t="str">
        <f t="shared" si="9"/>
        <v/>
      </c>
    </row>
    <row r="161" spans="1:18" x14ac:dyDescent="0.25">
      <c r="A161" s="27" t="str">
        <f>IF('E-Mixed'!A161&lt;'Adj-Mixed'!$B$10,'E-Mixed'!B161," ")</f>
        <v xml:space="preserve"> </v>
      </c>
      <c r="B161" s="217" t="str">
        <f>IF('E-Mixed'!A161&lt;'Adj-Mixed'!$B$10,'E-Mixed'!A161," ")</f>
        <v xml:space="preserve"> </v>
      </c>
      <c r="C161" s="25" t="str">
        <f>IF('E-Mixed'!A161&lt;'Adj-Mixed'!$B$10,'E-Mixed'!C161," ")</f>
        <v xml:space="preserve"> </v>
      </c>
      <c r="D161" s="27" t="str">
        <f>IF('E-Mixed'!A161&lt;'Adj-Mixed'!$B$10,'E-Mixed'!G161," ")</f>
        <v xml:space="preserve"> </v>
      </c>
      <c r="E161" s="26" t="str">
        <f>IF('E-Mixed'!A161&lt;'Adj-Mixed'!$B$10,'E-Mixed'!D161," ")</f>
        <v xml:space="preserve"> </v>
      </c>
      <c r="F161" s="216"/>
      <c r="G161" s="216" t="str">
        <f t="shared" si="8"/>
        <v xml:space="preserve"> </v>
      </c>
      <c r="H161" s="27" t="str">
        <f>IF('E-Mixed'!A161&lt;'Adj-Mixed'!$B$10,'E-Mixed'!I161," ")</f>
        <v xml:space="preserve"> </v>
      </c>
      <c r="I161" s="217" t="str">
        <f>IF('E-Mixed'!A161&lt;'Adj-Mixed'!$B$10,'E-Mixed'!A161," ")</f>
        <v xml:space="preserve"> </v>
      </c>
      <c r="J161" s="25" t="str">
        <f>IF('E-Mixed'!A161&lt;'Adj-Mixed'!$B$10,'E-Mixed'!J161," ")</f>
        <v xml:space="preserve"> </v>
      </c>
      <c r="K161" s="27" t="str">
        <f>IF('E-Mixed'!A161&lt;'Adj-Mixed'!$B$10,'E-Mixed'!N161," ")</f>
        <v xml:space="preserve"> </v>
      </c>
      <c r="L161" s="26" t="str">
        <f>IF('E-Mixed'!A161&lt;'Adj-Mixed'!$B$10,'E-Mixed'!K161," ")</f>
        <v xml:space="preserve"> </v>
      </c>
      <c r="M161" s="30" t="str">
        <f>IF('E-Mixed'!A161&lt;'Adj-Mixed'!$B$10,'E-Mixed'!M161," ")</f>
        <v xml:space="preserve"> </v>
      </c>
      <c r="N161" t="str">
        <f>IF('E-Mixed'!A161&lt;'Adj-Mixed'!$B$10,1/L161," ")</f>
        <v xml:space="preserve"> </v>
      </c>
      <c r="O161" s="19"/>
      <c r="P161" t="str">
        <f t="shared" si="10"/>
        <v/>
      </c>
      <c r="Q161" t="str">
        <f t="shared" si="11"/>
        <v/>
      </c>
      <c r="R161" s="100" t="str">
        <f t="shared" si="9"/>
        <v/>
      </c>
    </row>
    <row r="162" spans="1:18" x14ac:dyDescent="0.25">
      <c r="A162" s="27" t="str">
        <f>IF('E-Mixed'!A162&lt;'Adj-Mixed'!$B$10,'E-Mixed'!B162," ")</f>
        <v xml:space="preserve"> </v>
      </c>
      <c r="B162" s="217" t="str">
        <f>IF('E-Mixed'!A162&lt;'Adj-Mixed'!$B$10,'E-Mixed'!A162," ")</f>
        <v xml:space="preserve"> </v>
      </c>
      <c r="C162" s="25" t="str">
        <f>IF('E-Mixed'!A162&lt;'Adj-Mixed'!$B$10,'E-Mixed'!C162," ")</f>
        <v xml:space="preserve"> </v>
      </c>
      <c r="D162" s="27" t="str">
        <f>IF('E-Mixed'!A162&lt;'Adj-Mixed'!$B$10,'E-Mixed'!G162," ")</f>
        <v xml:space="preserve"> </v>
      </c>
      <c r="E162" s="26" t="str">
        <f>IF('E-Mixed'!A162&lt;'Adj-Mixed'!$B$10,'E-Mixed'!D162," ")</f>
        <v xml:space="preserve"> </v>
      </c>
      <c r="F162" s="216"/>
      <c r="G162" s="216" t="str">
        <f t="shared" si="8"/>
        <v xml:space="preserve"> </v>
      </c>
      <c r="H162" s="27" t="str">
        <f>IF('E-Mixed'!A162&lt;'Adj-Mixed'!$B$10,'E-Mixed'!I162," ")</f>
        <v xml:space="preserve"> </v>
      </c>
      <c r="I162" s="217" t="str">
        <f>IF('E-Mixed'!A162&lt;'Adj-Mixed'!$B$10,'E-Mixed'!A162," ")</f>
        <v xml:space="preserve"> </v>
      </c>
      <c r="J162" s="25" t="str">
        <f>IF('E-Mixed'!A162&lt;'Adj-Mixed'!$B$10,'E-Mixed'!J162," ")</f>
        <v xml:space="preserve"> </v>
      </c>
      <c r="K162" s="27" t="str">
        <f>IF('E-Mixed'!A162&lt;'Adj-Mixed'!$B$10,'E-Mixed'!N162," ")</f>
        <v xml:space="preserve"> </v>
      </c>
      <c r="L162" s="26" t="str">
        <f>IF('E-Mixed'!A162&lt;'Adj-Mixed'!$B$10,'E-Mixed'!K162," ")</f>
        <v xml:space="preserve"> </v>
      </c>
      <c r="M162" s="30" t="str">
        <f>IF('E-Mixed'!A162&lt;'Adj-Mixed'!$B$10,'E-Mixed'!M162," ")</f>
        <v xml:space="preserve"> </v>
      </c>
      <c r="N162" t="str">
        <f>IF('E-Mixed'!A162&lt;'Adj-Mixed'!$B$10,1/L162," ")</f>
        <v xml:space="preserve"> </v>
      </c>
      <c r="P162" t="str">
        <f t="shared" si="10"/>
        <v/>
      </c>
      <c r="Q162" t="str">
        <f t="shared" si="11"/>
        <v/>
      </c>
      <c r="R162" s="100" t="str">
        <f t="shared" si="9"/>
        <v/>
      </c>
    </row>
    <row r="163" spans="1:18" x14ac:dyDescent="0.25">
      <c r="A163" s="27" t="str">
        <f>IF('E-Mixed'!A163&lt;'Adj-Mixed'!$B$10,'E-Mixed'!B163," ")</f>
        <v xml:space="preserve"> </v>
      </c>
      <c r="B163" s="217" t="str">
        <f>IF('E-Mixed'!A163&lt;'Adj-Mixed'!$B$10,'E-Mixed'!A163," ")</f>
        <v xml:space="preserve"> </v>
      </c>
      <c r="C163" s="25" t="str">
        <f>IF('E-Mixed'!A163&lt;'Adj-Mixed'!$B$10,'E-Mixed'!C163," ")</f>
        <v xml:space="preserve"> </v>
      </c>
      <c r="D163" s="27" t="str">
        <f>IF('E-Mixed'!A163&lt;'Adj-Mixed'!$B$10,'E-Mixed'!G163," ")</f>
        <v xml:space="preserve"> </v>
      </c>
      <c r="E163" s="26" t="str">
        <f>IF('E-Mixed'!A163&lt;'Adj-Mixed'!$B$10,'E-Mixed'!D163," ")</f>
        <v xml:space="preserve"> </v>
      </c>
      <c r="F163" s="216"/>
      <c r="G163" s="216" t="str">
        <f t="shared" si="8"/>
        <v xml:space="preserve"> </v>
      </c>
      <c r="H163" s="27" t="str">
        <f>IF('E-Mixed'!A163&lt;'Adj-Mixed'!$B$10,'E-Mixed'!I163," ")</f>
        <v xml:space="preserve"> </v>
      </c>
      <c r="I163" s="217" t="str">
        <f>IF('E-Mixed'!A163&lt;'Adj-Mixed'!$B$10,'E-Mixed'!A163," ")</f>
        <v xml:space="preserve"> </v>
      </c>
      <c r="J163" s="25" t="str">
        <f>IF('E-Mixed'!A163&lt;'Adj-Mixed'!$B$10,'E-Mixed'!J163," ")</f>
        <v xml:space="preserve"> </v>
      </c>
      <c r="K163" s="27" t="str">
        <f>IF('E-Mixed'!A163&lt;'Adj-Mixed'!$B$10,'E-Mixed'!N163," ")</f>
        <v xml:space="preserve"> </v>
      </c>
      <c r="L163" s="26" t="str">
        <f>IF('E-Mixed'!A163&lt;'Adj-Mixed'!$B$10,'E-Mixed'!K163," ")</f>
        <v xml:space="preserve"> </v>
      </c>
      <c r="M163" s="30" t="str">
        <f>IF('E-Mixed'!A163&lt;'Adj-Mixed'!$B$10,'E-Mixed'!M163," ")</f>
        <v xml:space="preserve"> </v>
      </c>
      <c r="N163" t="str">
        <f>IF('E-Mixed'!A163&lt;'Adj-Mixed'!$B$10,1/L163," ")</f>
        <v xml:space="preserve"> </v>
      </c>
      <c r="P163" t="str">
        <f t="shared" si="10"/>
        <v/>
      </c>
      <c r="Q163" t="str">
        <f t="shared" si="11"/>
        <v/>
      </c>
      <c r="R163" s="100" t="str">
        <f t="shared" si="9"/>
        <v/>
      </c>
    </row>
    <row r="164" spans="1:18" x14ac:dyDescent="0.25">
      <c r="A164" s="27" t="str">
        <f>IF('E-Mixed'!A164&lt;'Adj-Mixed'!$B$10,'E-Mixed'!B164," ")</f>
        <v xml:space="preserve"> </v>
      </c>
      <c r="B164" s="217" t="str">
        <f>IF('E-Mixed'!A164&lt;'Adj-Mixed'!$B$10,'E-Mixed'!A164," ")</f>
        <v xml:space="preserve"> </v>
      </c>
      <c r="C164" s="25" t="str">
        <f>IF('E-Mixed'!A164&lt;'Adj-Mixed'!$B$10,'E-Mixed'!C164," ")</f>
        <v xml:space="preserve"> </v>
      </c>
      <c r="D164" s="27" t="str">
        <f>IF('E-Mixed'!A164&lt;'Adj-Mixed'!$B$10,'E-Mixed'!G164," ")</f>
        <v xml:space="preserve"> </v>
      </c>
      <c r="E164" s="26" t="str">
        <f>IF('E-Mixed'!A164&lt;'Adj-Mixed'!$B$10,'E-Mixed'!D164," ")</f>
        <v xml:space="preserve"> </v>
      </c>
      <c r="F164" s="216"/>
      <c r="G164" s="216" t="str">
        <f t="shared" si="8"/>
        <v xml:space="preserve"> </v>
      </c>
      <c r="H164" s="27" t="str">
        <f>IF('E-Mixed'!A164&lt;'Adj-Mixed'!$B$10,'E-Mixed'!I164," ")</f>
        <v xml:space="preserve"> </v>
      </c>
      <c r="I164" s="217" t="str">
        <f>IF('E-Mixed'!A164&lt;'Adj-Mixed'!$B$10,'E-Mixed'!A164," ")</f>
        <v xml:space="preserve"> </v>
      </c>
      <c r="J164" s="25" t="str">
        <f>IF('E-Mixed'!A164&lt;'Adj-Mixed'!$B$10,'E-Mixed'!J164," ")</f>
        <v xml:space="preserve"> </v>
      </c>
      <c r="K164" s="27" t="str">
        <f>IF('E-Mixed'!A164&lt;'Adj-Mixed'!$B$10,'E-Mixed'!N164," ")</f>
        <v xml:space="preserve"> </v>
      </c>
      <c r="L164" s="26" t="str">
        <f>IF('E-Mixed'!A164&lt;'Adj-Mixed'!$B$10,'E-Mixed'!K164," ")</f>
        <v xml:space="preserve"> </v>
      </c>
      <c r="M164" s="30" t="str">
        <f>IF('E-Mixed'!A164&lt;'Adj-Mixed'!$B$10,'E-Mixed'!M164," ")</f>
        <v xml:space="preserve"> </v>
      </c>
      <c r="N164" t="str">
        <f>IF('E-Mixed'!A164&lt;'Adj-Mixed'!$B$10,1/L164," ")</f>
        <v xml:space="preserve"> </v>
      </c>
      <c r="P164" t="str">
        <f t="shared" si="10"/>
        <v/>
      </c>
      <c r="Q164" t="str">
        <f t="shared" si="11"/>
        <v/>
      </c>
      <c r="R164" s="100" t="str">
        <f t="shared" si="9"/>
        <v/>
      </c>
    </row>
    <row r="165" spans="1:18" x14ac:dyDescent="0.25">
      <c r="A165" s="27" t="str">
        <f>IF('E-Mixed'!A165&lt;'Adj-Mixed'!$B$10,'E-Mixed'!B165," ")</f>
        <v xml:space="preserve"> </v>
      </c>
      <c r="B165" s="217" t="str">
        <f>IF('E-Mixed'!A165&lt;'Adj-Mixed'!$B$10,'E-Mixed'!A165," ")</f>
        <v xml:space="preserve"> </v>
      </c>
      <c r="C165" s="25" t="str">
        <f>IF('E-Mixed'!A165&lt;'Adj-Mixed'!$B$10,'E-Mixed'!C165," ")</f>
        <v xml:space="preserve"> </v>
      </c>
      <c r="D165" s="27" t="str">
        <f>IF('E-Mixed'!A165&lt;'Adj-Mixed'!$B$10,'E-Mixed'!G165," ")</f>
        <v xml:space="preserve"> </v>
      </c>
      <c r="E165" s="26" t="str">
        <f>IF('E-Mixed'!A165&lt;'Adj-Mixed'!$B$10,'E-Mixed'!D165," ")</f>
        <v xml:space="preserve"> </v>
      </c>
      <c r="F165" s="216"/>
      <c r="G165" s="216" t="str">
        <f t="shared" si="8"/>
        <v xml:space="preserve"> </v>
      </c>
      <c r="H165" s="27" t="str">
        <f>IF('E-Mixed'!A165&lt;'Adj-Mixed'!$B$10,'E-Mixed'!I165," ")</f>
        <v xml:space="preserve"> </v>
      </c>
      <c r="I165" s="217" t="str">
        <f>IF('E-Mixed'!A165&lt;'Adj-Mixed'!$B$10,'E-Mixed'!A165," ")</f>
        <v xml:space="preserve"> </v>
      </c>
      <c r="J165" s="25" t="str">
        <f>IF('E-Mixed'!A165&lt;'Adj-Mixed'!$B$10,'E-Mixed'!J165," ")</f>
        <v xml:space="preserve"> </v>
      </c>
      <c r="K165" s="27" t="str">
        <f>IF('E-Mixed'!A165&lt;'Adj-Mixed'!$B$10,'E-Mixed'!N165," ")</f>
        <v xml:space="preserve"> </v>
      </c>
      <c r="L165" s="26" t="str">
        <f>IF('E-Mixed'!A165&lt;'Adj-Mixed'!$B$10,'E-Mixed'!K165," ")</f>
        <v xml:space="preserve"> </v>
      </c>
      <c r="M165" s="30" t="str">
        <f>IF('E-Mixed'!A165&lt;'Adj-Mixed'!$B$10,'E-Mixed'!M165," ")</f>
        <v xml:space="preserve"> </v>
      </c>
      <c r="N165" t="str">
        <f>IF('E-Mixed'!A165&lt;'Adj-Mixed'!$B$10,1/L165," ")</f>
        <v xml:space="preserve"> </v>
      </c>
      <c r="P165" t="str">
        <f t="shared" si="10"/>
        <v/>
      </c>
      <c r="Q165" t="str">
        <f t="shared" si="11"/>
        <v/>
      </c>
      <c r="R165" s="100" t="str">
        <f t="shared" si="9"/>
        <v/>
      </c>
    </row>
    <row r="166" spans="1:18" x14ac:dyDescent="0.25">
      <c r="A166" s="27" t="str">
        <f>IF('E-Mixed'!A166&lt;'Adj-Mixed'!$B$10,'E-Mixed'!B166," ")</f>
        <v xml:space="preserve"> </v>
      </c>
      <c r="B166" s="217" t="str">
        <f>IF('E-Mixed'!A166&lt;'Adj-Mixed'!$B$10,'E-Mixed'!A166," ")</f>
        <v xml:space="preserve"> </v>
      </c>
      <c r="C166" s="25" t="str">
        <f>IF('E-Mixed'!A166&lt;'Adj-Mixed'!$B$10,'E-Mixed'!C166," ")</f>
        <v xml:space="preserve"> </v>
      </c>
      <c r="D166" s="27" t="str">
        <f>IF('E-Mixed'!A166&lt;'Adj-Mixed'!$B$10,'E-Mixed'!G166," ")</f>
        <v xml:space="preserve"> </v>
      </c>
      <c r="E166" s="26" t="str">
        <f>IF('E-Mixed'!A166&lt;'Adj-Mixed'!$B$10,'E-Mixed'!D166," ")</f>
        <v xml:space="preserve"> </v>
      </c>
      <c r="F166" s="216"/>
      <c r="G166" s="216" t="str">
        <f t="shared" si="8"/>
        <v xml:space="preserve"> </v>
      </c>
      <c r="H166" s="27" t="str">
        <f>IF('E-Mixed'!A166&lt;'Adj-Mixed'!$B$10,'E-Mixed'!I166," ")</f>
        <v xml:space="preserve"> </v>
      </c>
      <c r="I166" s="217" t="str">
        <f>IF('E-Mixed'!A166&lt;'Adj-Mixed'!$B$10,'E-Mixed'!A166," ")</f>
        <v xml:space="preserve"> </v>
      </c>
      <c r="J166" s="25" t="str">
        <f>IF('E-Mixed'!A166&lt;'Adj-Mixed'!$B$10,'E-Mixed'!J166," ")</f>
        <v xml:space="preserve"> </v>
      </c>
      <c r="K166" s="27" t="str">
        <f>IF('E-Mixed'!A166&lt;'Adj-Mixed'!$B$10,'E-Mixed'!N166," ")</f>
        <v xml:space="preserve"> </v>
      </c>
      <c r="L166" s="26" t="str">
        <f>IF('E-Mixed'!A166&lt;'Adj-Mixed'!$B$10,'E-Mixed'!K166," ")</f>
        <v xml:space="preserve"> </v>
      </c>
      <c r="M166" s="30" t="str">
        <f>IF('E-Mixed'!A166&lt;'Adj-Mixed'!$B$10,'E-Mixed'!M166," ")</f>
        <v xml:space="preserve"> </v>
      </c>
      <c r="N166" t="str">
        <f>IF('E-Mixed'!A166&lt;'Adj-Mixed'!$B$10,1/L166," ")</f>
        <v xml:space="preserve"> </v>
      </c>
      <c r="P166" t="str">
        <f t="shared" si="10"/>
        <v/>
      </c>
      <c r="Q166" t="str">
        <f t="shared" si="11"/>
        <v/>
      </c>
      <c r="R166" s="100" t="str">
        <f t="shared" si="9"/>
        <v/>
      </c>
    </row>
    <row r="167" spans="1:18" x14ac:dyDescent="0.25">
      <c r="A167" s="27" t="str">
        <f>IF('E-Mixed'!A167&lt;'Adj-Mixed'!$B$10,'E-Mixed'!B167," ")</f>
        <v xml:space="preserve"> </v>
      </c>
      <c r="B167" s="217" t="str">
        <f>IF('E-Mixed'!A167&lt;'Adj-Mixed'!$B$10,'E-Mixed'!A167," ")</f>
        <v xml:space="preserve"> </v>
      </c>
      <c r="C167" s="25" t="str">
        <f>IF('E-Mixed'!A167&lt;'Adj-Mixed'!$B$10,'E-Mixed'!C167," ")</f>
        <v xml:space="preserve"> </v>
      </c>
      <c r="D167" s="27" t="str">
        <f>IF('E-Mixed'!A167&lt;'Adj-Mixed'!$B$10,'E-Mixed'!G167," ")</f>
        <v xml:space="preserve"> </v>
      </c>
      <c r="E167" s="26" t="str">
        <f>IF('E-Mixed'!A167&lt;'Adj-Mixed'!$B$10,'E-Mixed'!D167," ")</f>
        <v xml:space="preserve"> </v>
      </c>
      <c r="F167" s="216"/>
      <c r="G167" s="216" t="str">
        <f t="shared" si="8"/>
        <v xml:space="preserve"> </v>
      </c>
      <c r="H167" s="27" t="str">
        <f>IF('E-Mixed'!A167&lt;'Adj-Mixed'!$B$10,'E-Mixed'!I167," ")</f>
        <v xml:space="preserve"> </v>
      </c>
      <c r="I167" s="217" t="str">
        <f>IF('E-Mixed'!A167&lt;'Adj-Mixed'!$B$10,'E-Mixed'!A167," ")</f>
        <v xml:space="preserve"> </v>
      </c>
      <c r="J167" s="25" t="str">
        <f>IF('E-Mixed'!A167&lt;'Adj-Mixed'!$B$10,'E-Mixed'!J167," ")</f>
        <v xml:space="preserve"> </v>
      </c>
      <c r="K167" s="27" t="str">
        <f>IF('E-Mixed'!A167&lt;'Adj-Mixed'!$B$10,'E-Mixed'!N167," ")</f>
        <v xml:space="preserve"> </v>
      </c>
      <c r="L167" s="26" t="str">
        <f>IF('E-Mixed'!A167&lt;'Adj-Mixed'!$B$10,'E-Mixed'!K167," ")</f>
        <v xml:space="preserve"> </v>
      </c>
      <c r="M167" s="30" t="str">
        <f>IF('E-Mixed'!A167&lt;'Adj-Mixed'!$B$10,'E-Mixed'!M167," ")</f>
        <v xml:space="preserve"> </v>
      </c>
      <c r="N167" t="str">
        <f>IF('E-Mixed'!A167&lt;'Adj-Mixed'!$B$10,1/L167," ")</f>
        <v xml:space="preserve"> </v>
      </c>
      <c r="P167" t="str">
        <f t="shared" si="10"/>
        <v/>
      </c>
      <c r="Q167" t="str">
        <f t="shared" si="11"/>
        <v/>
      </c>
      <c r="R167" s="100" t="str">
        <f t="shared" si="9"/>
        <v/>
      </c>
    </row>
    <row r="168" spans="1:18" x14ac:dyDescent="0.25">
      <c r="A168" s="27" t="str">
        <f>IF('E-Mixed'!A168&lt;'Adj-Mixed'!$B$10,'E-Mixed'!B168," ")</f>
        <v xml:space="preserve"> </v>
      </c>
      <c r="B168" s="217" t="str">
        <f>IF('E-Mixed'!A168&lt;'Adj-Mixed'!$B$10,'E-Mixed'!A168," ")</f>
        <v xml:space="preserve"> </v>
      </c>
      <c r="C168" s="25" t="str">
        <f>IF('E-Mixed'!A168&lt;'Adj-Mixed'!$B$10,'E-Mixed'!C168," ")</f>
        <v xml:space="preserve"> </v>
      </c>
      <c r="D168" s="27" t="str">
        <f>IF('E-Mixed'!A168&lt;'Adj-Mixed'!$B$10,'E-Mixed'!G168," ")</f>
        <v xml:space="preserve"> </v>
      </c>
      <c r="E168" s="26" t="str">
        <f>IF('E-Mixed'!A168&lt;'Adj-Mixed'!$B$10,'E-Mixed'!D168," ")</f>
        <v xml:space="preserve"> </v>
      </c>
      <c r="F168" s="216"/>
      <c r="G168" s="216" t="str">
        <f t="shared" si="8"/>
        <v xml:space="preserve"> </v>
      </c>
      <c r="H168" s="27" t="str">
        <f>IF('E-Mixed'!A168&lt;'Adj-Mixed'!$B$10,'E-Mixed'!I168," ")</f>
        <v xml:space="preserve"> </v>
      </c>
      <c r="I168" s="217" t="str">
        <f>IF('E-Mixed'!A168&lt;'Adj-Mixed'!$B$10,'E-Mixed'!A168," ")</f>
        <v xml:space="preserve"> </v>
      </c>
      <c r="J168" s="25" t="str">
        <f>IF('E-Mixed'!A168&lt;'Adj-Mixed'!$B$10,'E-Mixed'!J168," ")</f>
        <v xml:space="preserve"> </v>
      </c>
      <c r="K168" s="27" t="str">
        <f>IF('E-Mixed'!A168&lt;'Adj-Mixed'!$B$10,'E-Mixed'!N168," ")</f>
        <v xml:space="preserve"> </v>
      </c>
      <c r="L168" s="26" t="str">
        <f>IF('E-Mixed'!A168&lt;'Adj-Mixed'!$B$10,'E-Mixed'!K168," ")</f>
        <v xml:space="preserve"> </v>
      </c>
      <c r="M168" s="30" t="str">
        <f>IF('E-Mixed'!A168&lt;'Adj-Mixed'!$B$10,'E-Mixed'!M168," ")</f>
        <v xml:space="preserve"> </v>
      </c>
      <c r="N168" t="str">
        <f>IF('E-Mixed'!A168&lt;'Adj-Mixed'!$B$10,1/L168," ")</f>
        <v xml:space="preserve"> </v>
      </c>
      <c r="P168" t="str">
        <f t="shared" si="10"/>
        <v/>
      </c>
      <c r="Q168" t="str">
        <f t="shared" si="11"/>
        <v/>
      </c>
      <c r="R168" s="100" t="str">
        <f t="shared" si="9"/>
        <v/>
      </c>
    </row>
    <row r="169" spans="1:18" x14ac:dyDescent="0.25">
      <c r="A169" s="27" t="str">
        <f>IF('E-Mixed'!A169&lt;'Adj-Mixed'!$B$10,'E-Mixed'!B169," ")</f>
        <v xml:space="preserve"> </v>
      </c>
      <c r="B169" s="217" t="str">
        <f>IF('E-Mixed'!A169&lt;'Adj-Mixed'!$B$10,'E-Mixed'!A169," ")</f>
        <v xml:space="preserve"> </v>
      </c>
      <c r="C169" s="25" t="str">
        <f>IF('E-Mixed'!A169&lt;'Adj-Mixed'!$B$10,'E-Mixed'!C169," ")</f>
        <v xml:space="preserve"> </v>
      </c>
      <c r="D169" s="27" t="str">
        <f>IF('E-Mixed'!A169&lt;'Adj-Mixed'!$B$10,'E-Mixed'!G169," ")</f>
        <v xml:space="preserve"> </v>
      </c>
      <c r="E169" s="26" t="str">
        <f>IF('E-Mixed'!A169&lt;'Adj-Mixed'!$B$10,'E-Mixed'!D169," ")</f>
        <v xml:space="preserve"> </v>
      </c>
      <c r="F169" s="216"/>
      <c r="G169" s="216" t="str">
        <f t="shared" si="8"/>
        <v xml:space="preserve"> </v>
      </c>
      <c r="H169" s="27" t="str">
        <f>IF('E-Mixed'!A169&lt;'Adj-Mixed'!$B$10,'E-Mixed'!I169," ")</f>
        <v xml:space="preserve"> </v>
      </c>
      <c r="I169" s="217" t="str">
        <f>IF('E-Mixed'!A169&lt;'Adj-Mixed'!$B$10,'E-Mixed'!A169," ")</f>
        <v xml:space="preserve"> </v>
      </c>
      <c r="J169" s="25" t="str">
        <f>IF('E-Mixed'!A169&lt;'Adj-Mixed'!$B$10,'E-Mixed'!J169," ")</f>
        <v xml:space="preserve"> </v>
      </c>
      <c r="K169" s="27" t="str">
        <f>IF('E-Mixed'!A169&lt;'Adj-Mixed'!$B$10,'E-Mixed'!N169," ")</f>
        <v xml:space="preserve"> </v>
      </c>
      <c r="L169" s="26" t="str">
        <f>IF('E-Mixed'!A169&lt;'Adj-Mixed'!$B$10,'E-Mixed'!K169," ")</f>
        <v xml:space="preserve"> </v>
      </c>
      <c r="M169" s="30" t="str">
        <f>IF('E-Mixed'!A169&lt;'Adj-Mixed'!$B$10,'E-Mixed'!M169," ")</f>
        <v xml:space="preserve"> </v>
      </c>
      <c r="N169" t="str">
        <f>IF('E-Mixed'!A169&lt;'Adj-Mixed'!$B$10,1/L169," ")</f>
        <v xml:space="preserve"> </v>
      </c>
      <c r="P169" t="str">
        <f t="shared" si="10"/>
        <v/>
      </c>
      <c r="Q169" t="str">
        <f t="shared" si="11"/>
        <v/>
      </c>
      <c r="R169" s="100" t="str">
        <f t="shared" si="9"/>
        <v/>
      </c>
    </row>
    <row r="170" spans="1:18" x14ac:dyDescent="0.25">
      <c r="A170" s="27" t="str">
        <f>IF('E-Mixed'!A170&lt;'Adj-Mixed'!$B$10,'E-Mixed'!B170," ")</f>
        <v xml:space="preserve"> </v>
      </c>
      <c r="B170" s="217" t="str">
        <f>IF('E-Mixed'!A170&lt;'Adj-Mixed'!$B$10,'E-Mixed'!A170," ")</f>
        <v xml:space="preserve"> </v>
      </c>
      <c r="C170" s="25" t="str">
        <f>IF('E-Mixed'!A170&lt;'Adj-Mixed'!$B$10,'E-Mixed'!C170," ")</f>
        <v xml:space="preserve"> </v>
      </c>
      <c r="D170" s="27" t="str">
        <f>IF('E-Mixed'!A170&lt;'Adj-Mixed'!$B$10,'E-Mixed'!G170," ")</f>
        <v xml:space="preserve"> </v>
      </c>
      <c r="E170" s="26" t="str">
        <f>IF('E-Mixed'!A170&lt;'Adj-Mixed'!$B$10,'E-Mixed'!D170," ")</f>
        <v xml:space="preserve"> </v>
      </c>
      <c r="F170" s="216"/>
      <c r="G170" s="216" t="str">
        <f t="shared" si="8"/>
        <v xml:space="preserve"> </v>
      </c>
      <c r="H170" s="27" t="str">
        <f>IF('E-Mixed'!A170&lt;'Adj-Mixed'!$B$10,'E-Mixed'!I170," ")</f>
        <v xml:space="preserve"> </v>
      </c>
      <c r="I170" s="217" t="str">
        <f>IF('E-Mixed'!A170&lt;'Adj-Mixed'!$B$10,'E-Mixed'!A170," ")</f>
        <v xml:space="preserve"> </v>
      </c>
      <c r="J170" s="25" t="str">
        <f>IF('E-Mixed'!A170&lt;'Adj-Mixed'!$B$10,'E-Mixed'!J170," ")</f>
        <v xml:space="preserve"> </v>
      </c>
      <c r="K170" s="27" t="str">
        <f>IF('E-Mixed'!A170&lt;'Adj-Mixed'!$B$10,'E-Mixed'!N170," ")</f>
        <v xml:space="preserve"> </v>
      </c>
      <c r="L170" s="26" t="str">
        <f>IF('E-Mixed'!A170&lt;'Adj-Mixed'!$B$10,'E-Mixed'!K170," ")</f>
        <v xml:space="preserve"> </v>
      </c>
      <c r="M170" s="30" t="str">
        <f>IF('E-Mixed'!A170&lt;'Adj-Mixed'!$B$10,'E-Mixed'!M170," ")</f>
        <v xml:space="preserve"> </v>
      </c>
      <c r="N170" t="str">
        <f>IF('E-Mixed'!A170&lt;'Adj-Mixed'!$B$10,1/L170," ")</f>
        <v xml:space="preserve"> </v>
      </c>
      <c r="P170" t="str">
        <f t="shared" si="10"/>
        <v/>
      </c>
      <c r="Q170" t="str">
        <f t="shared" si="11"/>
        <v/>
      </c>
      <c r="R170" s="100" t="str">
        <f t="shared" si="9"/>
        <v/>
      </c>
    </row>
    <row r="171" spans="1:18" x14ac:dyDescent="0.25">
      <c r="A171" s="27" t="str">
        <f>IF('E-Mixed'!A171&lt;'Adj-Mixed'!$B$10,'E-Mixed'!B171," ")</f>
        <v xml:space="preserve"> </v>
      </c>
      <c r="B171" s="217" t="str">
        <f>IF('E-Mixed'!A171&lt;'Adj-Mixed'!$B$10,'E-Mixed'!A171," ")</f>
        <v xml:space="preserve"> </v>
      </c>
      <c r="C171" s="25" t="str">
        <f>IF('E-Mixed'!A171&lt;'Adj-Mixed'!$B$10,'E-Mixed'!C171," ")</f>
        <v xml:space="preserve"> </v>
      </c>
      <c r="D171" s="27" t="str">
        <f>IF('E-Mixed'!A171&lt;'Adj-Mixed'!$B$10,'E-Mixed'!G171," ")</f>
        <v xml:space="preserve"> </v>
      </c>
      <c r="E171" s="26" t="str">
        <f>IF('E-Mixed'!A171&lt;'Adj-Mixed'!$B$10,'E-Mixed'!D171," ")</f>
        <v xml:space="preserve"> </v>
      </c>
      <c r="F171" s="216"/>
      <c r="G171" s="216" t="str">
        <f t="shared" si="8"/>
        <v xml:space="preserve"> </v>
      </c>
      <c r="H171" s="27" t="str">
        <f>IF('E-Mixed'!A171&lt;'Adj-Mixed'!$B$10,'E-Mixed'!I171," ")</f>
        <v xml:space="preserve"> </v>
      </c>
      <c r="I171" s="217" t="str">
        <f>IF('E-Mixed'!A171&lt;'Adj-Mixed'!$B$10,'E-Mixed'!A171," ")</f>
        <v xml:space="preserve"> </v>
      </c>
      <c r="J171" s="25" t="str">
        <f>IF('E-Mixed'!A171&lt;'Adj-Mixed'!$B$10,'E-Mixed'!J171," ")</f>
        <v xml:space="preserve"> </v>
      </c>
      <c r="K171" s="27" t="str">
        <f>IF('E-Mixed'!A171&lt;'Adj-Mixed'!$B$10,'E-Mixed'!N171," ")</f>
        <v xml:space="preserve"> </v>
      </c>
      <c r="L171" s="26" t="str">
        <f>IF('E-Mixed'!A171&lt;'Adj-Mixed'!$B$10,'E-Mixed'!K171," ")</f>
        <v xml:space="preserve"> </v>
      </c>
      <c r="M171" s="30" t="str">
        <f>IF('E-Mixed'!A171&lt;'Adj-Mixed'!$B$10,'E-Mixed'!M171," ")</f>
        <v xml:space="preserve"> </v>
      </c>
      <c r="N171" t="str">
        <f>IF('E-Mixed'!A171&lt;'Adj-Mixed'!$B$10,1/L171," ")</f>
        <v xml:space="preserve"> </v>
      </c>
      <c r="P171" t="str">
        <f t="shared" si="10"/>
        <v/>
      </c>
      <c r="Q171" t="str">
        <f t="shared" si="11"/>
        <v/>
      </c>
      <c r="R171" s="100" t="str">
        <f t="shared" si="9"/>
        <v/>
      </c>
    </row>
    <row r="172" spans="1:18" x14ac:dyDescent="0.25">
      <c r="A172" s="27" t="str">
        <f>IF('E-Mixed'!A172&lt;'Adj-Mixed'!$B$10,'E-Mixed'!B172," ")</f>
        <v xml:space="preserve"> </v>
      </c>
      <c r="B172" s="217" t="str">
        <f>IF('E-Mixed'!A172&lt;'Adj-Mixed'!$B$10,'E-Mixed'!A172," ")</f>
        <v xml:space="preserve"> </v>
      </c>
      <c r="C172" s="25" t="str">
        <f>IF('E-Mixed'!A172&lt;'Adj-Mixed'!$B$10,'E-Mixed'!C172," ")</f>
        <v xml:space="preserve"> </v>
      </c>
      <c r="D172" s="27" t="str">
        <f>IF('E-Mixed'!A172&lt;'Adj-Mixed'!$B$10,'E-Mixed'!G172," ")</f>
        <v xml:space="preserve"> </v>
      </c>
      <c r="E172" s="26" t="str">
        <f>IF('E-Mixed'!A172&lt;'Adj-Mixed'!$B$10,'E-Mixed'!D172," ")</f>
        <v xml:space="preserve"> </v>
      </c>
      <c r="F172" s="216"/>
      <c r="G172" s="216" t="str">
        <f t="shared" si="8"/>
        <v xml:space="preserve"> </v>
      </c>
      <c r="H172" s="27" t="str">
        <f>IF('E-Mixed'!A172&lt;'Adj-Mixed'!$B$10,'E-Mixed'!I172," ")</f>
        <v xml:space="preserve"> </v>
      </c>
      <c r="I172" s="217" t="str">
        <f>IF('E-Mixed'!A172&lt;'Adj-Mixed'!$B$10,'E-Mixed'!A172," ")</f>
        <v xml:space="preserve"> </v>
      </c>
      <c r="J172" s="25" t="str">
        <f>IF('E-Mixed'!A172&lt;'Adj-Mixed'!$B$10,'E-Mixed'!J172," ")</f>
        <v xml:space="preserve"> </v>
      </c>
      <c r="K172" s="27" t="str">
        <f>IF('E-Mixed'!A172&lt;'Adj-Mixed'!$B$10,'E-Mixed'!N172," ")</f>
        <v xml:space="preserve"> </v>
      </c>
      <c r="L172" s="26" t="str">
        <f>IF('E-Mixed'!A172&lt;'Adj-Mixed'!$B$10,'E-Mixed'!K172," ")</f>
        <v xml:space="preserve"> </v>
      </c>
      <c r="M172" s="30" t="str">
        <f>IF('E-Mixed'!A172&lt;'Adj-Mixed'!$B$10,'E-Mixed'!M172," ")</f>
        <v xml:space="preserve"> </v>
      </c>
      <c r="N172" t="str">
        <f>IF('E-Mixed'!A172&lt;'Adj-Mixed'!$B$10,1/L172," ")</f>
        <v xml:space="preserve"> </v>
      </c>
      <c r="P172" t="str">
        <f t="shared" si="10"/>
        <v/>
      </c>
      <c r="Q172" t="str">
        <f t="shared" si="11"/>
        <v/>
      </c>
      <c r="R172" s="100" t="str">
        <f t="shared" si="9"/>
        <v/>
      </c>
    </row>
    <row r="173" spans="1:18" x14ac:dyDescent="0.25">
      <c r="A173" s="27" t="str">
        <f>IF('E-Mixed'!A173&lt;'Adj-Mixed'!$B$10,'E-Mixed'!B173," ")</f>
        <v xml:space="preserve"> </v>
      </c>
      <c r="B173" s="217" t="str">
        <f>IF('E-Mixed'!A173&lt;'Adj-Mixed'!$B$10,'E-Mixed'!A173," ")</f>
        <v xml:space="preserve"> </v>
      </c>
      <c r="C173" s="25" t="str">
        <f>IF('E-Mixed'!A173&lt;'Adj-Mixed'!$B$10,'E-Mixed'!C173," ")</f>
        <v xml:space="preserve"> </v>
      </c>
      <c r="D173" s="27" t="str">
        <f>IF('E-Mixed'!A173&lt;'Adj-Mixed'!$B$10,'E-Mixed'!G173," ")</f>
        <v xml:space="preserve"> </v>
      </c>
      <c r="E173" s="26" t="str">
        <f>IF('E-Mixed'!A173&lt;'Adj-Mixed'!$B$10,'E-Mixed'!D173," ")</f>
        <v xml:space="preserve"> </v>
      </c>
      <c r="F173" s="216"/>
      <c r="G173" s="216" t="str">
        <f t="shared" si="8"/>
        <v xml:space="preserve"> </v>
      </c>
      <c r="H173" s="27" t="str">
        <f>IF('E-Mixed'!A173&lt;'Adj-Mixed'!$B$10,'E-Mixed'!I173," ")</f>
        <v xml:space="preserve"> </v>
      </c>
      <c r="I173" s="217" t="str">
        <f>IF('E-Mixed'!A173&lt;'Adj-Mixed'!$B$10,'E-Mixed'!A173," ")</f>
        <v xml:space="preserve"> </v>
      </c>
      <c r="J173" s="25" t="str">
        <f>IF('E-Mixed'!A173&lt;'Adj-Mixed'!$B$10,'E-Mixed'!J173," ")</f>
        <v xml:space="preserve"> </v>
      </c>
      <c r="K173" s="27" t="str">
        <f>IF('E-Mixed'!A173&lt;'Adj-Mixed'!$B$10,'E-Mixed'!N173," ")</f>
        <v xml:space="preserve"> </v>
      </c>
      <c r="L173" s="26" t="str">
        <f>IF('E-Mixed'!A173&lt;'Adj-Mixed'!$B$10,'E-Mixed'!K173," ")</f>
        <v xml:space="preserve"> </v>
      </c>
      <c r="M173" s="30" t="str">
        <f>IF('E-Mixed'!A173&lt;'Adj-Mixed'!$B$10,'E-Mixed'!M173," ")</f>
        <v xml:space="preserve"> </v>
      </c>
      <c r="N173" t="str">
        <f>IF('E-Mixed'!A173&lt;'Adj-Mixed'!$B$10,1/L173," ")</f>
        <v xml:space="preserve"> </v>
      </c>
      <c r="P173" t="str">
        <f t="shared" si="10"/>
        <v/>
      </c>
      <c r="Q173" t="str">
        <f t="shared" si="11"/>
        <v/>
      </c>
      <c r="R173" s="100" t="str">
        <f t="shared" si="9"/>
        <v/>
      </c>
    </row>
    <row r="174" spans="1:18" x14ac:dyDescent="0.25">
      <c r="A174" s="27" t="str">
        <f>IF('E-Mixed'!A174&lt;'Adj-Mixed'!$B$10,'E-Mixed'!B174," ")</f>
        <v xml:space="preserve"> </v>
      </c>
      <c r="B174" s="217" t="str">
        <f>IF('E-Mixed'!A174&lt;'Adj-Mixed'!$B$10,'E-Mixed'!A174," ")</f>
        <v xml:space="preserve"> </v>
      </c>
      <c r="C174" s="25" t="str">
        <f>IF('E-Mixed'!A174&lt;'Adj-Mixed'!$B$10,'E-Mixed'!C174," ")</f>
        <v xml:space="preserve"> </v>
      </c>
      <c r="D174" s="27" t="str">
        <f>IF('E-Mixed'!A174&lt;'Adj-Mixed'!$B$10,'E-Mixed'!G174," ")</f>
        <v xml:space="preserve"> </v>
      </c>
      <c r="E174" s="26" t="str">
        <f>IF('E-Mixed'!A174&lt;'Adj-Mixed'!$B$10,'E-Mixed'!D174," ")</f>
        <v xml:space="preserve"> </v>
      </c>
      <c r="F174" s="216"/>
      <c r="G174" s="216" t="str">
        <f t="shared" si="8"/>
        <v xml:space="preserve"> </v>
      </c>
      <c r="H174" s="27" t="str">
        <f>IF('E-Mixed'!A174&lt;'Adj-Mixed'!$B$10,'E-Mixed'!I174," ")</f>
        <v xml:space="preserve"> </v>
      </c>
      <c r="I174" s="217" t="str">
        <f>IF('E-Mixed'!A174&lt;'Adj-Mixed'!$B$10,'E-Mixed'!A174," ")</f>
        <v xml:space="preserve"> </v>
      </c>
      <c r="J174" s="25" t="str">
        <f>IF('E-Mixed'!A174&lt;'Adj-Mixed'!$B$10,'E-Mixed'!J174," ")</f>
        <v xml:space="preserve"> </v>
      </c>
      <c r="K174" s="27" t="str">
        <f>IF('E-Mixed'!A174&lt;'Adj-Mixed'!$B$10,'E-Mixed'!N174," ")</f>
        <v xml:space="preserve"> </v>
      </c>
      <c r="L174" s="26" t="str">
        <f>IF('E-Mixed'!A174&lt;'Adj-Mixed'!$B$10,'E-Mixed'!K174," ")</f>
        <v xml:space="preserve"> </v>
      </c>
      <c r="M174" s="30" t="str">
        <f>IF('E-Mixed'!A174&lt;'Adj-Mixed'!$B$10,'E-Mixed'!M174," ")</f>
        <v xml:space="preserve"> </v>
      </c>
      <c r="N174" t="str">
        <f>IF('E-Mixed'!A174&lt;'Adj-Mixed'!$B$10,1/L174," ")</f>
        <v xml:space="preserve"> </v>
      </c>
      <c r="P174" t="str">
        <f t="shared" si="10"/>
        <v/>
      </c>
      <c r="Q174" t="str">
        <f t="shared" si="11"/>
        <v/>
      </c>
      <c r="R174" s="100" t="str">
        <f t="shared" si="9"/>
        <v/>
      </c>
    </row>
    <row r="175" spans="1:18" x14ac:dyDescent="0.25">
      <c r="A175" s="27" t="str">
        <f>IF('E-Mixed'!A175&lt;'Adj-Mixed'!$B$10,'E-Mixed'!B175," ")</f>
        <v xml:space="preserve"> </v>
      </c>
      <c r="B175" s="217" t="str">
        <f>IF('E-Mixed'!A175&lt;'Adj-Mixed'!$B$10,'E-Mixed'!A175," ")</f>
        <v xml:space="preserve"> </v>
      </c>
      <c r="C175" s="25" t="str">
        <f>IF('E-Mixed'!A175&lt;'Adj-Mixed'!$B$10,'E-Mixed'!C175," ")</f>
        <v xml:space="preserve"> </v>
      </c>
      <c r="D175" s="27" t="str">
        <f>IF('E-Mixed'!A175&lt;'Adj-Mixed'!$B$10,'E-Mixed'!G175," ")</f>
        <v xml:space="preserve"> </v>
      </c>
      <c r="E175" s="26" t="str">
        <f>IF('E-Mixed'!A175&lt;'Adj-Mixed'!$B$10,'E-Mixed'!D175," ")</f>
        <v xml:space="preserve"> </v>
      </c>
      <c r="F175" s="216"/>
      <c r="G175" s="216" t="str">
        <f t="shared" si="8"/>
        <v xml:space="preserve"> </v>
      </c>
      <c r="H175" s="27" t="str">
        <f>IF('E-Mixed'!A175&lt;'Adj-Mixed'!$B$10,'E-Mixed'!I175," ")</f>
        <v xml:space="preserve"> </v>
      </c>
      <c r="I175" s="217" t="str">
        <f>IF('E-Mixed'!A175&lt;'Adj-Mixed'!$B$10,'E-Mixed'!A175," ")</f>
        <v xml:space="preserve"> </v>
      </c>
      <c r="J175" s="25" t="str">
        <f>IF('E-Mixed'!A175&lt;'Adj-Mixed'!$B$10,'E-Mixed'!J175," ")</f>
        <v xml:space="preserve"> </v>
      </c>
      <c r="K175" s="27" t="str">
        <f>IF('E-Mixed'!A175&lt;'Adj-Mixed'!$B$10,'E-Mixed'!N175," ")</f>
        <v xml:space="preserve"> </v>
      </c>
      <c r="L175" s="26" t="str">
        <f>IF('E-Mixed'!A175&lt;'Adj-Mixed'!$B$10,'E-Mixed'!K175," ")</f>
        <v xml:space="preserve"> </v>
      </c>
      <c r="M175" s="30" t="str">
        <f>IF('E-Mixed'!A175&lt;'Adj-Mixed'!$B$10,'E-Mixed'!M175," ")</f>
        <v xml:space="preserve"> </v>
      </c>
      <c r="N175" t="str">
        <f>IF('E-Mixed'!A175&lt;'Adj-Mixed'!$B$10,1/L175," ")</f>
        <v xml:space="preserve"> </v>
      </c>
      <c r="P175" t="str">
        <f t="shared" si="10"/>
        <v/>
      </c>
      <c r="Q175" t="str">
        <f t="shared" si="11"/>
        <v/>
      </c>
      <c r="R175" s="100" t="str">
        <f t="shared" si="9"/>
        <v/>
      </c>
    </row>
    <row r="176" spans="1:18" x14ac:dyDescent="0.25">
      <c r="A176" s="27" t="str">
        <f>IF('E-Mixed'!A176&lt;'Adj-Mixed'!$B$10,'E-Mixed'!B176," ")</f>
        <v xml:space="preserve"> </v>
      </c>
      <c r="B176" s="217" t="str">
        <f>IF('E-Mixed'!A176&lt;'Adj-Mixed'!$B$10,'E-Mixed'!A176," ")</f>
        <v xml:space="preserve"> </v>
      </c>
      <c r="C176" s="25" t="str">
        <f>IF('E-Mixed'!A176&lt;'Adj-Mixed'!$B$10,'E-Mixed'!C176," ")</f>
        <v xml:space="preserve"> </v>
      </c>
      <c r="D176" s="27" t="str">
        <f>IF('E-Mixed'!A176&lt;'Adj-Mixed'!$B$10,'E-Mixed'!G176," ")</f>
        <v xml:space="preserve"> </v>
      </c>
      <c r="E176" s="26" t="str">
        <f>IF('E-Mixed'!A176&lt;'Adj-Mixed'!$B$10,'E-Mixed'!D176," ")</f>
        <v xml:space="preserve"> </v>
      </c>
      <c r="F176" s="216"/>
      <c r="G176" s="216" t="str">
        <f t="shared" si="8"/>
        <v xml:space="preserve"> </v>
      </c>
      <c r="H176" s="27" t="str">
        <f>IF('E-Mixed'!A176&lt;'Adj-Mixed'!$B$10,'E-Mixed'!I176," ")</f>
        <v xml:space="preserve"> </v>
      </c>
      <c r="I176" s="217" t="str">
        <f>IF('E-Mixed'!A176&lt;'Adj-Mixed'!$B$10,'E-Mixed'!A176," ")</f>
        <v xml:space="preserve"> </v>
      </c>
      <c r="J176" s="25" t="str">
        <f>IF('E-Mixed'!A176&lt;'Adj-Mixed'!$B$10,'E-Mixed'!J176," ")</f>
        <v xml:space="preserve"> </v>
      </c>
      <c r="K176" s="27" t="str">
        <f>IF('E-Mixed'!A176&lt;'Adj-Mixed'!$B$10,'E-Mixed'!N176," ")</f>
        <v xml:space="preserve"> </v>
      </c>
      <c r="L176" s="26" t="str">
        <f>IF('E-Mixed'!A176&lt;'Adj-Mixed'!$B$10,'E-Mixed'!K176," ")</f>
        <v xml:space="preserve"> </v>
      </c>
      <c r="M176" s="30" t="str">
        <f>IF('E-Mixed'!A176&lt;'Adj-Mixed'!$B$10,'E-Mixed'!M176," ")</f>
        <v xml:space="preserve"> </v>
      </c>
      <c r="N176" t="str">
        <f>IF('E-Mixed'!A176&lt;'Adj-Mixed'!$B$10,1/L176," ")</f>
        <v xml:space="preserve"> </v>
      </c>
      <c r="P176" t="str">
        <f t="shared" si="10"/>
        <v/>
      </c>
      <c r="Q176" t="str">
        <f t="shared" si="11"/>
        <v/>
      </c>
      <c r="R176" s="100" t="str">
        <f t="shared" si="9"/>
        <v/>
      </c>
    </row>
    <row r="177" spans="1:18" x14ac:dyDescent="0.25">
      <c r="A177" s="27" t="str">
        <f>IF('E-Mixed'!A177&lt;'Adj-Mixed'!$B$10,'E-Mixed'!B177," ")</f>
        <v xml:space="preserve"> </v>
      </c>
      <c r="B177" s="217" t="str">
        <f>IF('E-Mixed'!A177&lt;'Adj-Mixed'!$B$10,'E-Mixed'!A177," ")</f>
        <v xml:space="preserve"> </v>
      </c>
      <c r="C177" s="25" t="str">
        <f>IF('E-Mixed'!A177&lt;'Adj-Mixed'!$B$10,'E-Mixed'!C177," ")</f>
        <v xml:space="preserve"> </v>
      </c>
      <c r="D177" s="27" t="str">
        <f>IF('E-Mixed'!A177&lt;'Adj-Mixed'!$B$10,'E-Mixed'!G177," ")</f>
        <v xml:space="preserve"> </v>
      </c>
      <c r="E177" s="26" t="str">
        <f>IF('E-Mixed'!A177&lt;'Adj-Mixed'!$B$10,'E-Mixed'!D177," ")</f>
        <v xml:space="preserve"> </v>
      </c>
      <c r="F177" s="216"/>
      <c r="G177" s="216" t="str">
        <f t="shared" si="8"/>
        <v xml:space="preserve"> </v>
      </c>
      <c r="H177" s="27" t="str">
        <f>IF('E-Mixed'!A177&lt;'Adj-Mixed'!$B$10,'E-Mixed'!I177," ")</f>
        <v xml:space="preserve"> </v>
      </c>
      <c r="I177" s="217" t="str">
        <f>IF('E-Mixed'!A177&lt;'Adj-Mixed'!$B$10,'E-Mixed'!A177," ")</f>
        <v xml:space="preserve"> </v>
      </c>
      <c r="J177" s="25" t="str">
        <f>IF('E-Mixed'!A177&lt;'Adj-Mixed'!$B$10,'E-Mixed'!J177," ")</f>
        <v xml:space="preserve"> </v>
      </c>
      <c r="K177" s="27" t="str">
        <f>IF('E-Mixed'!A177&lt;'Adj-Mixed'!$B$10,'E-Mixed'!N177," ")</f>
        <v xml:space="preserve"> </v>
      </c>
      <c r="L177" s="26" t="str">
        <f>IF('E-Mixed'!A177&lt;'Adj-Mixed'!$B$10,'E-Mixed'!K177," ")</f>
        <v xml:space="preserve"> </v>
      </c>
      <c r="M177" s="30" t="str">
        <f>IF('E-Mixed'!A177&lt;'Adj-Mixed'!$B$10,'E-Mixed'!M177," ")</f>
        <v xml:space="preserve"> </v>
      </c>
      <c r="N177" t="str">
        <f>IF('E-Mixed'!A177&lt;'Adj-Mixed'!$B$10,1/L177," ")</f>
        <v xml:space="preserve"> </v>
      </c>
      <c r="P177" t="str">
        <f>IFERROR(IF(J177&lt;0,"",CONVERT(J177,"g", "lbm")),"")</f>
        <v/>
      </c>
      <c r="Q177" t="str">
        <f t="shared" si="11"/>
        <v/>
      </c>
      <c r="R177" s="100" t="str">
        <f t="shared" si="9"/>
        <v/>
      </c>
    </row>
    <row r="178" spans="1:18" x14ac:dyDescent="0.25">
      <c r="A178" s="27" t="str">
        <f>IF('E-Mixed'!A178&lt;'Adj-Mixed'!$B$10,'E-Mixed'!B178," ")</f>
        <v xml:space="preserve"> </v>
      </c>
      <c r="B178" s="217" t="str">
        <f>IF('E-Mixed'!A178&lt;'Adj-Mixed'!$B$10,'E-Mixed'!A178," ")</f>
        <v xml:space="preserve"> </v>
      </c>
      <c r="C178" s="25" t="str">
        <f>IF('E-Mixed'!A178&lt;'Adj-Mixed'!$B$10,'E-Mixed'!C178," ")</f>
        <v xml:space="preserve"> </v>
      </c>
      <c r="D178" s="27" t="str">
        <f>IF('E-Mixed'!A178&lt;'Adj-Mixed'!$B$10,'E-Mixed'!G178," ")</f>
        <v xml:space="preserve"> </v>
      </c>
      <c r="E178" s="26" t="str">
        <f>IF('E-Mixed'!A178&lt;'Adj-Mixed'!$B$10,'E-Mixed'!D178," ")</f>
        <v xml:space="preserve"> </v>
      </c>
      <c r="F178" s="216"/>
      <c r="G178" s="216" t="str">
        <f t="shared" si="8"/>
        <v xml:space="preserve"> </v>
      </c>
      <c r="H178" s="27" t="str">
        <f>IF('E-Mixed'!A178&lt;'Adj-Mixed'!$B$10,'E-Mixed'!I178,"")</f>
        <v/>
      </c>
      <c r="I178" s="217" t="str">
        <f>IF('E-Mixed'!A178&lt;'Adj-Mixed'!$B$10,'E-Mixed'!A178," ")</f>
        <v xml:space="preserve"> </v>
      </c>
      <c r="J178" s="25" t="str">
        <f>IF('E-Mixed'!A178&lt;'Adj-Mixed'!$B$10,'E-Mixed'!J178," ")</f>
        <v xml:space="preserve"> </v>
      </c>
      <c r="K178" s="27" t="str">
        <f>IF('E-Mixed'!A178&lt;'Adj-Mixed'!$B$10,'E-Mixed'!N178," ")</f>
        <v xml:space="preserve"> </v>
      </c>
      <c r="L178" s="26" t="str">
        <f>IF('E-Mixed'!A178&lt;'Adj-Mixed'!$B$10,'E-Mixed'!K178," ")</f>
        <v xml:space="preserve"> </v>
      </c>
      <c r="M178" s="30" t="str">
        <f>IF('E-Mixed'!A178&lt;'Adj-Mixed'!$B$10,'E-Mixed'!M178," ")</f>
        <v xml:space="preserve"> </v>
      </c>
      <c r="N178" t="str">
        <f>IF('E-Mixed'!A178&lt;'Adj-Mixed'!$B$10,1/L178," ")</f>
        <v xml:space="preserve"> </v>
      </c>
      <c r="P178" t="str">
        <f t="shared" si="10"/>
        <v/>
      </c>
      <c r="Q178" t="str">
        <f t="shared" si="11"/>
        <v/>
      </c>
      <c r="R178" s="100" t="str">
        <f t="shared" si="9"/>
        <v/>
      </c>
    </row>
    <row r="179" spans="1:18" x14ac:dyDescent="0.25">
      <c r="A179" s="27" t="str">
        <f>IF('E-Mixed'!A179&lt;'Adj-Mixed'!$B$10,'E-Mixed'!B179," ")</f>
        <v xml:space="preserve"> </v>
      </c>
      <c r="B179" s="217" t="str">
        <f>IF('E-Mixed'!A179&lt;'Adj-Mixed'!$B$10,'E-Mixed'!A179," ")</f>
        <v xml:space="preserve"> </v>
      </c>
      <c r="C179" s="25" t="str">
        <f>IF('E-Mixed'!A179&lt;'Adj-Mixed'!$B$10,'E-Mixed'!C179," ")</f>
        <v xml:space="preserve"> </v>
      </c>
      <c r="D179" s="27" t="str">
        <f>IF('E-Mixed'!A179&lt;'Adj-Mixed'!$B$10,'E-Mixed'!G179," ")</f>
        <v xml:space="preserve"> </v>
      </c>
      <c r="E179" s="26" t="str">
        <f>IF('E-Mixed'!A179&lt;'Adj-Mixed'!$B$10,'E-Mixed'!D179," ")</f>
        <v xml:space="preserve"> </v>
      </c>
      <c r="F179" s="216"/>
      <c r="G179" s="216" t="str">
        <f t="shared" si="8"/>
        <v xml:space="preserve"> </v>
      </c>
      <c r="H179" s="27" t="str">
        <f>IF('E-Mixed'!A179&lt;'Adj-Mixed'!$B$10,'E-Mixed'!I179," ")</f>
        <v xml:space="preserve"> </v>
      </c>
      <c r="I179" s="217" t="str">
        <f>IF('E-Mixed'!A179&lt;'Adj-Mixed'!$B$10,'E-Mixed'!A179," ")</f>
        <v xml:space="preserve"> </v>
      </c>
      <c r="J179" s="25" t="str">
        <f>IF('E-Mixed'!A179&lt;'Adj-Mixed'!$B$10,'E-Mixed'!J179," ")</f>
        <v xml:space="preserve"> </v>
      </c>
      <c r="K179" s="27" t="str">
        <f>IF('E-Mixed'!A179&lt;'Adj-Mixed'!$B$10,'E-Mixed'!N179," ")</f>
        <v xml:space="preserve"> </v>
      </c>
      <c r="L179" s="26" t="str">
        <f>IF('E-Mixed'!A179&lt;'Adj-Mixed'!$B$10,'E-Mixed'!K179," ")</f>
        <v xml:space="preserve"> </v>
      </c>
      <c r="M179" s="30" t="str">
        <f>IF('E-Mixed'!A179&lt;'Adj-Mixed'!$B$10,'E-Mixed'!M179," ")</f>
        <v xml:space="preserve"> </v>
      </c>
      <c r="N179" t="str">
        <f>IF('E-Mixed'!A179&lt;'Adj-Mixed'!$B$10,1/L179," ")</f>
        <v xml:space="preserve"> </v>
      </c>
      <c r="P179" t="str">
        <f t="shared" si="10"/>
        <v/>
      </c>
      <c r="Q179" t="str">
        <f t="shared" si="11"/>
        <v/>
      </c>
      <c r="R179" s="100" t="str">
        <f t="shared" si="9"/>
        <v/>
      </c>
    </row>
    <row r="180" spans="1:18" x14ac:dyDescent="0.25">
      <c r="A180" s="27" t="str">
        <f>IF('E-Mixed'!A180&lt;'Adj-Mixed'!$B$10,'E-Mixed'!B180," ")</f>
        <v xml:space="preserve"> </v>
      </c>
      <c r="B180" s="217" t="str">
        <f>IF('E-Mixed'!A180&lt;'Adj-Mixed'!$B$10,'E-Mixed'!A180," ")</f>
        <v xml:space="preserve"> </v>
      </c>
      <c r="C180" s="25" t="str">
        <f>IF('E-Mixed'!A180&lt;'Adj-Mixed'!$B$10,'E-Mixed'!C180," ")</f>
        <v xml:space="preserve"> </v>
      </c>
      <c r="D180" s="27" t="str">
        <f>IF('E-Mixed'!A180&lt;'Adj-Mixed'!$B$10,'E-Mixed'!G180," ")</f>
        <v xml:space="preserve"> </v>
      </c>
      <c r="E180" s="26" t="str">
        <f>IF('E-Mixed'!A180&lt;'Adj-Mixed'!$B$10,'E-Mixed'!D180," ")</f>
        <v xml:space="preserve"> </v>
      </c>
      <c r="F180" s="216"/>
      <c r="G180" s="216" t="str">
        <f t="shared" si="8"/>
        <v xml:space="preserve"> </v>
      </c>
      <c r="H180" s="27" t="str">
        <f>IF('E-Mixed'!A180&lt;'Adj-Mixed'!$B$10,'E-Mixed'!I180," ")</f>
        <v xml:space="preserve"> </v>
      </c>
      <c r="I180" s="217" t="str">
        <f>IF('E-Mixed'!A180&lt;'Adj-Mixed'!$B$10,'E-Mixed'!A180," ")</f>
        <v xml:space="preserve"> </v>
      </c>
      <c r="J180" s="25" t="str">
        <f>IF('E-Mixed'!A180&lt;'Adj-Mixed'!$B$10,'E-Mixed'!J180," ")</f>
        <v xml:space="preserve"> </v>
      </c>
      <c r="K180" s="27" t="str">
        <f>IF('E-Mixed'!A180&lt;'Adj-Mixed'!$B$10,'E-Mixed'!N180," ")</f>
        <v xml:space="preserve"> </v>
      </c>
      <c r="L180" s="26" t="str">
        <f>IF('E-Mixed'!A180&lt;'Adj-Mixed'!$B$10,'E-Mixed'!K180," ")</f>
        <v xml:space="preserve"> </v>
      </c>
      <c r="M180" s="30" t="str">
        <f>IF('E-Mixed'!A180&lt;'Adj-Mixed'!$B$10,'E-Mixed'!M180," ")</f>
        <v xml:space="preserve"> </v>
      </c>
      <c r="N180" t="str">
        <f>IF('E-Mixed'!A180&lt;'Adj-Mixed'!$B$10,1/L180," ")</f>
        <v xml:space="preserve"> </v>
      </c>
      <c r="P180" t="str">
        <f t="shared" si="10"/>
        <v/>
      </c>
      <c r="Q180" t="str">
        <f t="shared" si="11"/>
        <v/>
      </c>
      <c r="R180" s="100" t="str">
        <f t="shared" si="9"/>
        <v/>
      </c>
    </row>
    <row r="181" spans="1:18" x14ac:dyDescent="0.25">
      <c r="A181" s="27" t="str">
        <f>IF('E-Mixed'!A181&lt;'Adj-Mixed'!$B$10,'E-Mixed'!B181," ")</f>
        <v xml:space="preserve"> </v>
      </c>
      <c r="B181" s="217" t="str">
        <f>IF('E-Mixed'!A181&lt;'Adj-Mixed'!$B$10,'E-Mixed'!A181," ")</f>
        <v xml:space="preserve"> </v>
      </c>
      <c r="C181" s="25" t="str">
        <f>IF('E-Mixed'!A181&lt;'Adj-Mixed'!$B$10,'E-Mixed'!C181," ")</f>
        <v xml:space="preserve"> </v>
      </c>
      <c r="D181" s="27" t="str">
        <f>IF('E-Mixed'!A181&lt;'Adj-Mixed'!$B$10,'E-Mixed'!G181," ")</f>
        <v xml:space="preserve"> </v>
      </c>
      <c r="E181" s="26" t="str">
        <f>IF('E-Mixed'!A181&lt;'Adj-Mixed'!$B$10,'E-Mixed'!D181," ")</f>
        <v xml:space="preserve"> </v>
      </c>
      <c r="F181" s="216"/>
      <c r="G181" s="216" t="str">
        <f t="shared" si="8"/>
        <v xml:space="preserve"> </v>
      </c>
      <c r="H181" s="27" t="str">
        <f>IF('E-Mixed'!A181&lt;'Adj-Mixed'!$B$10,'E-Mixed'!I181," ")</f>
        <v xml:space="preserve"> </v>
      </c>
      <c r="I181" s="217" t="str">
        <f>IF('E-Mixed'!A181&lt;'Adj-Mixed'!$B$10,'E-Mixed'!A181," ")</f>
        <v xml:space="preserve"> </v>
      </c>
      <c r="J181" s="25" t="str">
        <f>IF('E-Mixed'!A181&lt;'Adj-Mixed'!$B$10,'E-Mixed'!J181," ")</f>
        <v xml:space="preserve"> </v>
      </c>
      <c r="K181" s="27" t="str">
        <f>IF('E-Mixed'!A181&lt;'Adj-Mixed'!$B$10,'E-Mixed'!N181," ")</f>
        <v xml:space="preserve"> </v>
      </c>
      <c r="L181" s="26" t="str">
        <f>IF('E-Mixed'!A181&lt;'Adj-Mixed'!$B$10,'E-Mixed'!K181," ")</f>
        <v xml:space="preserve"> </v>
      </c>
      <c r="M181" s="30" t="str">
        <f>IF('E-Mixed'!A181&lt;'Adj-Mixed'!$B$10,'E-Mixed'!M181," ")</f>
        <v xml:space="preserve"> </v>
      </c>
      <c r="N181" t="str">
        <f>IF('E-Mixed'!A181&lt;'Adj-Mixed'!$B$10,1/L181," ")</f>
        <v xml:space="preserve"> </v>
      </c>
      <c r="P181" t="str">
        <f t="shared" si="10"/>
        <v/>
      </c>
      <c r="Q181" t="str">
        <f t="shared" si="11"/>
        <v/>
      </c>
      <c r="R181" s="100" t="str">
        <f t="shared" si="9"/>
        <v/>
      </c>
    </row>
    <row r="182" spans="1:18" x14ac:dyDescent="0.25">
      <c r="A182" s="27" t="str">
        <f>IF('E-Mixed'!A182&lt;'Adj-Mixed'!$B$10,'E-Mixed'!B182," ")</f>
        <v xml:space="preserve"> </v>
      </c>
      <c r="B182" s="217" t="str">
        <f>IF('E-Mixed'!A182&lt;'Adj-Mixed'!$B$10,'E-Mixed'!A182," ")</f>
        <v xml:space="preserve"> </v>
      </c>
      <c r="C182" s="25" t="str">
        <f>IF('E-Mixed'!A182&lt;'Adj-Mixed'!$B$10,'E-Mixed'!C182," ")</f>
        <v xml:space="preserve"> </v>
      </c>
      <c r="D182" s="27" t="str">
        <f>IF('E-Mixed'!A182&lt;'Adj-Mixed'!$B$10,'E-Mixed'!G182," ")</f>
        <v xml:space="preserve"> </v>
      </c>
      <c r="E182" s="26" t="str">
        <f>IF('E-Mixed'!A182&lt;'Adj-Mixed'!$B$10,'E-Mixed'!D182," ")</f>
        <v xml:space="preserve"> </v>
      </c>
      <c r="F182" s="216"/>
      <c r="G182" s="216" t="str">
        <f t="shared" si="8"/>
        <v xml:space="preserve"> </v>
      </c>
      <c r="H182" s="27" t="str">
        <f>IF('E-Mixed'!A182&lt;'Adj-Mixed'!$B$10,'E-Mixed'!I182," ")</f>
        <v xml:space="preserve"> </v>
      </c>
      <c r="I182" s="217" t="str">
        <f>IF('E-Mixed'!A182&lt;'Adj-Mixed'!$B$10,'E-Mixed'!A182," ")</f>
        <v xml:space="preserve"> </v>
      </c>
      <c r="J182" s="25" t="str">
        <f>IF('E-Mixed'!A182&lt;'Adj-Mixed'!$B$10,'E-Mixed'!J182," ")</f>
        <v xml:space="preserve"> </v>
      </c>
      <c r="K182" s="27" t="str">
        <f>IF('E-Mixed'!A182&lt;'Adj-Mixed'!$B$10,'E-Mixed'!N182," ")</f>
        <v xml:space="preserve"> </v>
      </c>
      <c r="L182" s="26" t="str">
        <f>IF('E-Mixed'!A182&lt;'Adj-Mixed'!$B$10,'E-Mixed'!K182," ")</f>
        <v xml:space="preserve"> </v>
      </c>
      <c r="M182" s="30" t="str">
        <f>IF('E-Mixed'!A182&lt;'Adj-Mixed'!$B$10,'E-Mixed'!M182," ")</f>
        <v xml:space="preserve"> </v>
      </c>
      <c r="N182" t="str">
        <f>IF('E-Mixed'!A182&lt;'Adj-Mixed'!$B$10,1/L182," ")</f>
        <v xml:space="preserve"> </v>
      </c>
      <c r="P182" t="str">
        <f t="shared" si="10"/>
        <v/>
      </c>
      <c r="Q182" t="str">
        <f t="shared" si="11"/>
        <v/>
      </c>
      <c r="R182" s="100" t="str">
        <f t="shared" si="9"/>
        <v/>
      </c>
    </row>
    <row r="183" spans="1:18" x14ac:dyDescent="0.25">
      <c r="A183" s="27" t="str">
        <f>IF('E-Mixed'!A183&lt;'Adj-Mixed'!$B$10,'E-Mixed'!B183," ")</f>
        <v xml:space="preserve"> </v>
      </c>
      <c r="B183" s="217" t="str">
        <f>IF('E-Mixed'!A183&lt;'Adj-Mixed'!$B$10,'E-Mixed'!A183," ")</f>
        <v xml:space="preserve"> </v>
      </c>
      <c r="C183" s="25" t="str">
        <f>IF('E-Mixed'!A183&lt;'Adj-Mixed'!$B$10,'E-Mixed'!C183," ")</f>
        <v xml:space="preserve"> </v>
      </c>
      <c r="D183" s="27" t="str">
        <f>IF('E-Mixed'!A183&lt;'Adj-Mixed'!$B$10,'E-Mixed'!G183," ")</f>
        <v xml:space="preserve"> </v>
      </c>
      <c r="E183" s="26" t="str">
        <f>IF('E-Mixed'!A183&lt;'Adj-Mixed'!$B$10,'E-Mixed'!D183," ")</f>
        <v xml:space="preserve"> </v>
      </c>
      <c r="F183" s="216"/>
      <c r="G183" s="216" t="str">
        <f t="shared" si="8"/>
        <v xml:space="preserve"> </v>
      </c>
      <c r="H183" s="27" t="str">
        <f>IF('E-Mixed'!A183&lt;'Adj-Mixed'!$B$10,'E-Mixed'!I183," ")</f>
        <v xml:space="preserve"> </v>
      </c>
      <c r="I183" s="217" t="str">
        <f>IF('E-Mixed'!A183&lt;'Adj-Mixed'!$B$10,'E-Mixed'!A183," ")</f>
        <v xml:space="preserve"> </v>
      </c>
      <c r="J183" s="25" t="str">
        <f>IF('E-Mixed'!A183&lt;'Adj-Mixed'!$B$10,'E-Mixed'!J183," ")</f>
        <v xml:space="preserve"> </v>
      </c>
      <c r="K183" s="27" t="str">
        <f>IF('E-Mixed'!A183&lt;'Adj-Mixed'!$B$10,'E-Mixed'!N183," ")</f>
        <v xml:space="preserve"> </v>
      </c>
      <c r="L183" s="26" t="str">
        <f>IF('E-Mixed'!A183&lt;'Adj-Mixed'!$B$10,'E-Mixed'!K183," ")</f>
        <v xml:space="preserve"> </v>
      </c>
      <c r="M183" s="30" t="str">
        <f>IF('E-Mixed'!A183&lt;'Adj-Mixed'!$B$10,'E-Mixed'!M183," ")</f>
        <v xml:space="preserve"> </v>
      </c>
      <c r="N183" t="str">
        <f>IF('E-Mixed'!A183&lt;'Adj-Mixed'!$B$10,1/L183," ")</f>
        <v xml:space="preserve"> </v>
      </c>
      <c r="P183" t="str">
        <f t="shared" si="10"/>
        <v/>
      </c>
      <c r="Q183" t="str">
        <f t="shared" si="11"/>
        <v/>
      </c>
      <c r="R183" s="100" t="str">
        <f t="shared" si="9"/>
        <v/>
      </c>
    </row>
    <row r="184" spans="1:18" x14ac:dyDescent="0.25">
      <c r="A184" s="27" t="str">
        <f>IF('E-Mixed'!A184&lt;'Adj-Mixed'!$B$10,'E-Mixed'!B184," ")</f>
        <v xml:space="preserve"> </v>
      </c>
      <c r="B184" s="217" t="str">
        <f>IF('E-Mixed'!A184&lt;'Adj-Mixed'!$B$10,'E-Mixed'!A184," ")</f>
        <v xml:space="preserve"> </v>
      </c>
      <c r="C184" s="25" t="str">
        <f>IF('E-Mixed'!A184&lt;'Adj-Mixed'!$B$10,'E-Mixed'!C184," ")</f>
        <v xml:space="preserve"> </v>
      </c>
      <c r="D184" s="27" t="str">
        <f>IF('E-Mixed'!A184&lt;'Adj-Mixed'!$B$10,'E-Mixed'!G184," ")</f>
        <v xml:space="preserve"> </v>
      </c>
      <c r="E184" s="26" t="str">
        <f>IF('E-Mixed'!A184&lt;'Adj-Mixed'!$B$10,'E-Mixed'!D184," ")</f>
        <v xml:space="preserve"> </v>
      </c>
      <c r="F184" s="216"/>
      <c r="G184" s="216" t="str">
        <f t="shared" si="8"/>
        <v xml:space="preserve"> </v>
      </c>
      <c r="H184" s="27" t="str">
        <f>IF('E-Mixed'!A184&lt;'Adj-Mixed'!$B$10,'E-Mixed'!I184," ")</f>
        <v xml:space="preserve"> </v>
      </c>
      <c r="I184" s="217" t="str">
        <f>IF('E-Mixed'!A184&lt;'Adj-Mixed'!$B$10,'E-Mixed'!A184," ")</f>
        <v xml:space="preserve"> </v>
      </c>
      <c r="J184" s="25" t="str">
        <f>IF('E-Mixed'!A184&lt;'Adj-Mixed'!$B$10,'E-Mixed'!J184," ")</f>
        <v xml:space="preserve"> </v>
      </c>
      <c r="K184" s="27" t="str">
        <f>IF('E-Mixed'!A184&lt;'Adj-Mixed'!$B$10,'E-Mixed'!N184," ")</f>
        <v xml:space="preserve"> </v>
      </c>
      <c r="L184" s="26" t="str">
        <f>IF('E-Mixed'!A184&lt;'Adj-Mixed'!$B$10,'E-Mixed'!K184," ")</f>
        <v xml:space="preserve"> </v>
      </c>
      <c r="M184" s="30" t="str">
        <f>IF('E-Mixed'!A184&lt;'Adj-Mixed'!$B$10,'E-Mixed'!M184," ")</f>
        <v xml:space="preserve"> </v>
      </c>
      <c r="N184" t="str">
        <f>IF('E-Mixed'!A184&lt;'Adj-Mixed'!$B$10,1/L184," ")</f>
        <v xml:space="preserve"> </v>
      </c>
      <c r="P184" t="str">
        <f t="shared" si="10"/>
        <v/>
      </c>
      <c r="Q184" t="str">
        <f t="shared" si="11"/>
        <v/>
      </c>
      <c r="R184" s="100" t="str">
        <f t="shared" si="9"/>
        <v/>
      </c>
    </row>
    <row r="185" spans="1:18" x14ac:dyDescent="0.25">
      <c r="A185" s="27" t="str">
        <f>IF('E-Mixed'!A185&lt;'Adj-Mixed'!$B$10,'E-Mixed'!B185," ")</f>
        <v xml:space="preserve"> </v>
      </c>
      <c r="B185" s="217" t="str">
        <f>IF('E-Mixed'!A185&lt;'Adj-Mixed'!$B$10,'E-Mixed'!A185," ")</f>
        <v xml:space="preserve"> </v>
      </c>
      <c r="C185" s="25" t="str">
        <f>IF('E-Mixed'!A185&lt;'Adj-Mixed'!$B$10,'E-Mixed'!C185," ")</f>
        <v xml:space="preserve"> </v>
      </c>
      <c r="D185" s="27" t="str">
        <f>IF('E-Mixed'!A185&lt;'Adj-Mixed'!$B$10,'E-Mixed'!G185," ")</f>
        <v xml:space="preserve"> </v>
      </c>
      <c r="E185" s="26" t="str">
        <f>IF('E-Mixed'!A185&lt;'Adj-Mixed'!$B$10,'E-Mixed'!D185," ")</f>
        <v xml:space="preserve"> </v>
      </c>
      <c r="F185" s="216"/>
      <c r="G185" s="216" t="str">
        <f t="shared" si="8"/>
        <v xml:space="preserve"> </v>
      </c>
      <c r="H185" s="27" t="str">
        <f>IF('E-Mixed'!A185&lt;'Adj-Mixed'!$B$10,'E-Mixed'!I185," ")</f>
        <v xml:space="preserve"> </v>
      </c>
      <c r="I185" s="217" t="str">
        <f>IF('E-Mixed'!A185&lt;'Adj-Mixed'!$B$10,'E-Mixed'!A185," ")</f>
        <v xml:space="preserve"> </v>
      </c>
      <c r="J185" s="25" t="str">
        <f>IF('E-Mixed'!A185&lt;'Adj-Mixed'!$B$10,'E-Mixed'!J185," ")</f>
        <v xml:space="preserve"> </v>
      </c>
      <c r="K185" s="27" t="str">
        <f>IF('E-Mixed'!A185&lt;'Adj-Mixed'!$B$10,'E-Mixed'!N185," ")</f>
        <v xml:space="preserve"> </v>
      </c>
      <c r="L185" s="26" t="str">
        <f>IF('E-Mixed'!A185&lt;'Adj-Mixed'!$B$10,'E-Mixed'!K185," ")</f>
        <v xml:space="preserve"> </v>
      </c>
      <c r="M185" s="30" t="str">
        <f>IF('E-Mixed'!A185&lt;'Adj-Mixed'!$B$10,'E-Mixed'!M185," ")</f>
        <v xml:space="preserve"> </v>
      </c>
      <c r="N185" t="str">
        <f>IF('E-Mixed'!A185&lt;'Adj-Mixed'!$B$10,1/L185," ")</f>
        <v xml:space="preserve"> </v>
      </c>
      <c r="P185" t="str">
        <f t="shared" si="10"/>
        <v/>
      </c>
      <c r="Q185" t="str">
        <f t="shared" si="11"/>
        <v/>
      </c>
      <c r="R185" s="100" t="str">
        <f t="shared" si="9"/>
        <v/>
      </c>
    </row>
    <row r="186" spans="1:18" x14ac:dyDescent="0.25">
      <c r="A186" s="3"/>
      <c r="B186" s="4"/>
      <c r="C186" s="4"/>
      <c r="D186" s="2"/>
      <c r="E186" s="1"/>
      <c r="F186" s="216"/>
    </row>
    <row r="187" spans="1:18" x14ac:dyDescent="0.25">
      <c r="F187" s="216"/>
    </row>
    <row r="188" spans="1:18" x14ac:dyDescent="0.25">
      <c r="F188" s="216"/>
    </row>
    <row r="189" spans="1:18" x14ac:dyDescent="0.25">
      <c r="F189" s="216"/>
    </row>
    <row r="190" spans="1:18" x14ac:dyDescent="0.25">
      <c r="F190" s="216"/>
    </row>
    <row r="191" spans="1:18" x14ac:dyDescent="0.25">
      <c r="F191" s="216"/>
    </row>
  </sheetData>
  <mergeCells count="2">
    <mergeCell ref="A1:E1"/>
    <mergeCell ref="H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A3177-AF14-49E6-B6D6-C80E8947F688}">
  <sheetPr codeName="Sheet17"/>
  <dimension ref="A1:R185"/>
  <sheetViews>
    <sheetView topLeftCell="D118" zoomScale="80" zoomScaleNormal="80" workbookViewId="0">
      <selection activeCell="U5" sqref="U5"/>
    </sheetView>
  </sheetViews>
  <sheetFormatPr defaultColWidth="8.85546875" defaultRowHeight="15" x14ac:dyDescent="0.25"/>
  <cols>
    <col min="1" max="1" width="20.7109375" customWidth="1"/>
    <col min="2" max="2" width="12.42578125" customWidth="1"/>
    <col min="3" max="4" width="20.7109375" customWidth="1"/>
    <col min="5" max="6" width="15.85546875" customWidth="1"/>
    <col min="8" max="8" width="20.7109375" customWidth="1"/>
    <col min="9" max="9" width="12.42578125" customWidth="1"/>
    <col min="10" max="11" width="20.7109375" customWidth="1"/>
    <col min="12" max="12" width="15.85546875" customWidth="1"/>
  </cols>
  <sheetData>
    <row r="1" spans="1:18" x14ac:dyDescent="0.25">
      <c r="A1" s="249" t="str">
        <f>'E-Gilts'!B1&amp;" - "&amp;'E-Gilts'!C1</f>
        <v>Gilts - Low energy diet</v>
      </c>
      <c r="B1" s="249"/>
      <c r="C1" s="249"/>
      <c r="D1" s="249"/>
      <c r="E1" s="249"/>
      <c r="F1" s="152"/>
      <c r="H1" s="250" t="str">
        <f>'E-Gilts'!I1&amp;" - "&amp;'E-Gilts'!J1</f>
        <v xml:space="preserve">Gilts - Client </v>
      </c>
      <c r="I1" s="250"/>
      <c r="J1" s="250"/>
      <c r="K1" s="250"/>
      <c r="L1" s="250"/>
    </row>
    <row r="2" spans="1:18" x14ac:dyDescent="0.25">
      <c r="A2" s="219" t="str">
        <f>'E-Gilts'!B2</f>
        <v>Body Weight, kg</v>
      </c>
      <c r="B2" s="219" t="str">
        <f>'E-Gilts'!A2</f>
        <v>Age, d</v>
      </c>
      <c r="C2" s="219" t="str">
        <f>'E-Gilts'!C2</f>
        <v>Est. ADG, g/d</v>
      </c>
      <c r="D2" s="219" t="str">
        <f>'E-Gilts'!G2</f>
        <v>Ac. Feed intake, kg</v>
      </c>
      <c r="E2" s="219" t="str">
        <f>'E-Gilts'!D2</f>
        <v>Est. G:F</v>
      </c>
      <c r="F2" s="153"/>
      <c r="G2" t="s">
        <v>55</v>
      </c>
      <c r="H2" s="212" t="str">
        <f>A2</f>
        <v>Body Weight, kg</v>
      </c>
      <c r="I2" s="212" t="str">
        <f>B2</f>
        <v>Age, d</v>
      </c>
      <c r="J2" s="212" t="str">
        <f>C2</f>
        <v>Est. ADG, g/d</v>
      </c>
      <c r="K2" s="212" t="str">
        <f>D2</f>
        <v>Ac. Feed intake, kg</v>
      </c>
      <c r="L2" s="212" t="str">
        <f>E2</f>
        <v>Est. G:F</v>
      </c>
      <c r="M2" t="s">
        <v>69</v>
      </c>
      <c r="N2" t="s">
        <v>30</v>
      </c>
      <c r="P2" t="s">
        <v>67</v>
      </c>
      <c r="Q2" t="s">
        <v>68</v>
      </c>
      <c r="R2" t="s">
        <v>62</v>
      </c>
    </row>
    <row r="3" spans="1:18" x14ac:dyDescent="0.25">
      <c r="A3" s="27">
        <f>IF('E-Gilts'!A3&lt;'Adj-Gilts'!$B$10,'E-Gilts'!B3," ")</f>
        <v>6.1565785361179355</v>
      </c>
      <c r="B3" s="25">
        <f>IF('E-Gilts'!A3&lt;'Adj-Gilts'!$B$10,'E-Gilts'!A3," ")</f>
        <v>21</v>
      </c>
      <c r="G3" s="216">
        <f>IFERROR(I3,"")</f>
        <v>21</v>
      </c>
      <c r="H3" s="27">
        <f>IF('E-Gilts'!A3&lt;'Adj-Gilts'!$B$10,'E-Gilts'!I3," ")</f>
        <v>12.089576651964517</v>
      </c>
      <c r="I3" s="217">
        <f>IF('E-Gilts'!A3&lt;'Adj-Gilts'!$B$10,'E-Gilts'!A3," ")</f>
        <v>21</v>
      </c>
      <c r="K3" s="27"/>
      <c r="M3" s="19"/>
      <c r="N3" s="19"/>
      <c r="O3" s="19"/>
      <c r="R3" s="30">
        <f>IFERROR(IF(H3&lt;0,"",CONVERT(H3,"kg", "lbm")),"")</f>
        <v>26.652954175495758</v>
      </c>
    </row>
    <row r="4" spans="1:18" x14ac:dyDescent="0.25">
      <c r="A4" s="27">
        <f>IF('E-Gilts'!A4&lt;'Adj-Gilts'!$B$10,'E-Gilts'!B4," ")</f>
        <v>6.2403774778214611</v>
      </c>
      <c r="B4" s="25">
        <f>IF('E-Gilts'!A4&lt;'Adj-Gilts'!$B$10,'E-Gilts'!A4," ")</f>
        <v>22</v>
      </c>
      <c r="C4" s="25">
        <f>IF('E-Gilts'!A4&lt;'Adj-Gilts'!$B$10,'E-Gilts'!C4," ")</f>
        <v>83.798941703525642</v>
      </c>
      <c r="D4" s="27">
        <f>IF('E-Gilts'!A4&lt;'Adj-Gilts'!$B$10,'E-Gilts'!G4," ")</f>
        <v>8.6312295211157644E-2</v>
      </c>
      <c r="E4" s="26">
        <f>IF('E-Gilts'!A4&lt;'Adj-Gilts'!$B$10,'E-Gilts'!D4," ")</f>
        <v>0.9708807012780365</v>
      </c>
      <c r="F4" s="26"/>
      <c r="G4" s="216">
        <f t="shared" ref="G4:G67" si="0">IFERROR(I4,"")</f>
        <v>22</v>
      </c>
      <c r="H4" s="27">
        <f>IF('E-Gilts'!A4&lt;'Adj-Gilts'!$B$10,'E-Gilts'!I4," ")</f>
        <v>12.221282221237445</v>
      </c>
      <c r="I4" s="217">
        <f>IF('E-Gilts'!A4&lt;'Adj-Gilts'!$B$10,'E-Gilts'!A4," ")</f>
        <v>22</v>
      </c>
      <c r="J4" s="25">
        <f>IF('E-Gilts'!A4&lt;'Adj-Gilts'!$B$10,'E-Gilts'!J4," ")</f>
        <v>131.70556927292722</v>
      </c>
      <c r="K4" s="27">
        <f>IF('E-Gilts'!A4&lt;'Adj-Gilts'!$B$10,'E-Gilts'!N4," ")</f>
        <v>0.21639067568622103</v>
      </c>
      <c r="L4" s="115">
        <f>IF('E-Gilts'!A4&lt;'Adj-Gilts'!$B$10,'E-Gilts'!K4," ")</f>
        <v>0.60864715568386096</v>
      </c>
      <c r="M4">
        <f>IF('E-Gilts'!A4&lt;'Adj-Gilts'!$B$10,'E-Gilts'!M4," ")</f>
        <v>0.21639067568622103</v>
      </c>
      <c r="N4" s="29">
        <f>IF('E-Gilts'!A4&lt;'Adj-Gilts'!$B$10,1/L4," ")</f>
        <v>1.6429880443233562</v>
      </c>
      <c r="O4" s="19"/>
      <c r="P4" s="30">
        <f>IFERROR(IF(J4&lt;0,"",CONVERT(J4,"g", "lbm")),"")</f>
        <v>0.29036107744256634</v>
      </c>
      <c r="Q4" s="30">
        <f>IFERROR(IF(M4&lt;0,"",CONVERT(M4,"kg", "lbm")),"")</f>
        <v>0.47705977877498473</v>
      </c>
      <c r="R4" s="30">
        <f>IFERROR(IF(H4&lt;0,"",CONVERT(H4,"kg", "lbm")),"")</f>
        <v>26.943315252938326</v>
      </c>
    </row>
    <row r="5" spans="1:18" x14ac:dyDescent="0.25">
      <c r="A5" s="27">
        <f>IF('E-Gilts'!A5&lt;'Adj-Gilts'!$B$10,'E-Gilts'!B5," ")</f>
        <v>6.3486887042716953</v>
      </c>
      <c r="B5" s="25">
        <f>IF('E-Gilts'!A5&lt;'Adj-Gilts'!$B$10,'E-Gilts'!A5," ")</f>
        <v>23</v>
      </c>
      <c r="C5" s="25">
        <f>IF('E-Gilts'!A5&lt;'Adj-Gilts'!$B$10,'E-Gilts'!C5," ")</f>
        <v>108.31122645023416</v>
      </c>
      <c r="D5" s="27">
        <f>IF('E-Gilts'!A5&lt;'Adj-Gilts'!$B$10,'E-Gilts'!G5," ")</f>
        <v>0.19895516844121927</v>
      </c>
      <c r="E5" s="26">
        <f>IF('E-Gilts'!A5&lt;'Adj-Gilts'!$B$10,'E-Gilts'!D5," ")</f>
        <v>0.96154530991960308</v>
      </c>
      <c r="F5" s="26"/>
      <c r="G5" s="216">
        <f t="shared" si="0"/>
        <v>23</v>
      </c>
      <c r="H5" s="27">
        <f>IF('E-Gilts'!A5&lt;'Adj-Gilts'!$B$10,'E-Gilts'!I5," ")</f>
        <v>12.391513389415513</v>
      </c>
      <c r="I5" s="217">
        <f>IF('E-Gilts'!A5&lt;'Adj-Gilts'!$B$10,'E-Gilts'!A5," ")</f>
        <v>23</v>
      </c>
      <c r="J5" s="25">
        <f>IF('E-Gilts'!A5&lt;'Adj-Gilts'!$B$10,'E-Gilts'!J5," ")</f>
        <v>170.2311681780684</v>
      </c>
      <c r="K5" s="27">
        <f>IF('E-Gilts'!A5&lt;'Adj-Gilts'!$B$10,'E-Gilts'!N5," ")</f>
        <v>0.49879386505638879</v>
      </c>
      <c r="L5" s="115">
        <f>IF('E-Gilts'!A5&lt;'Adj-Gilts'!$B$10,'E-Gilts'!K5," ")</f>
        <v>0.60279477918690649</v>
      </c>
      <c r="M5">
        <f>IF('E-Gilts'!A5&lt;'Adj-Gilts'!$B$10,'E-Gilts'!M5," ")</f>
        <v>0.28240318937016773</v>
      </c>
      <c r="N5" s="29">
        <f>IF('E-Gilts'!A5&lt;'Adj-Gilts'!$B$10,1/L5," ")</f>
        <v>1.6589393845594895</v>
      </c>
      <c r="O5" s="19"/>
      <c r="P5" s="30">
        <f t="shared" ref="P5:P68" si="1">IFERROR(IF(J5&lt;0,"",CONVERT(J5,"g", "lbm")),"")</f>
        <v>0.37529548430911303</v>
      </c>
      <c r="Q5" s="30">
        <f t="shared" ref="Q5:Q68" si="2">IFERROR(IF(M5&lt;0,"",CONVERT(M5,"kg", "lbm")),"")</f>
        <v>0.62259245976771549</v>
      </c>
      <c r="R5" s="30">
        <f t="shared" ref="R5:R68" si="3">IFERROR(IF(H5&lt;0,"",CONVERT(H5,"kg", "lbm")),"")</f>
        <v>27.318610737247436</v>
      </c>
    </row>
    <row r="6" spans="1:18" x14ac:dyDescent="0.25">
      <c r="A6" s="27">
        <f>IF('E-Gilts'!A6&lt;'Adj-Gilts'!$B$10,'E-Gilts'!B6," ")</f>
        <v>6.4809285896413336</v>
      </c>
      <c r="B6" s="25">
        <f>IF('E-Gilts'!A6&lt;'Adj-Gilts'!$B$10,'E-Gilts'!A6," ")</f>
        <v>24</v>
      </c>
      <c r="C6" s="25">
        <f>IF('E-Gilts'!A6&lt;'Adj-Gilts'!$B$10,'E-Gilts'!C6," ")</f>
        <v>132.23988536963827</v>
      </c>
      <c r="D6" s="27">
        <f>IF('E-Gilts'!A6&lt;'Adj-Gilts'!$B$10,'E-Gilts'!G6," ")</f>
        <v>0.33780605913936529</v>
      </c>
      <c r="E6" s="26">
        <f>IF('E-Gilts'!A6&lt;'Adj-Gilts'!$B$10,'E-Gilts'!D6," ")</f>
        <v>0.95238773553941614</v>
      </c>
      <c r="F6" s="26"/>
      <c r="G6" s="216">
        <f t="shared" si="0"/>
        <v>24</v>
      </c>
      <c r="H6" s="27">
        <f>IF('E-Gilts'!A6&lt;'Adj-Gilts'!$B$10,'E-Gilts'!I6," ")</f>
        <v>12.599352880334312</v>
      </c>
      <c r="I6" s="217">
        <f>IF('E-Gilts'!A6&lt;'Adj-Gilts'!$B$10,'E-Gilts'!A6," ")</f>
        <v>24</v>
      </c>
      <c r="J6" s="25">
        <f>IF('E-Gilts'!A6&lt;'Adj-Gilts'!$B$10,'E-Gilts'!J6," ")</f>
        <v>207.83949091879856</v>
      </c>
      <c r="K6" s="27">
        <f>IF('E-Gilts'!A6&lt;'Adj-Gilts'!$B$10,'E-Gilts'!N6," ")</f>
        <v>0.8469023006425318</v>
      </c>
      <c r="L6" s="115">
        <f>IF('E-Gilts'!A6&lt;'Adj-Gilts'!$B$10,'E-Gilts'!K6," ")</f>
        <v>0.59705387652798347</v>
      </c>
      <c r="M6">
        <f>IF('E-Gilts'!A6&lt;'Adj-Gilts'!$B$10,'E-Gilts'!M6," ")</f>
        <v>0.34810843558614307</v>
      </c>
      <c r="N6" s="29">
        <f>IF('E-Gilts'!A6&lt;'Adj-Gilts'!$B$10,1/L6," ")</f>
        <v>1.6748907247956386</v>
      </c>
      <c r="O6" s="19"/>
      <c r="P6" s="30">
        <f t="shared" si="1"/>
        <v>0.45820764339311648</v>
      </c>
      <c r="Q6" s="30">
        <f t="shared" si="2"/>
        <v>0.76744773194959837</v>
      </c>
      <c r="R6" s="30">
        <f t="shared" si="3"/>
        <v>27.776818380640556</v>
      </c>
    </row>
    <row r="7" spans="1:18" x14ac:dyDescent="0.25">
      <c r="A7" s="27">
        <f>IF('E-Gilts'!A7&lt;'Adj-Gilts'!$B$10,'E-Gilts'!B7," ")</f>
        <v>6.6365135081030742</v>
      </c>
      <c r="B7" s="25">
        <f>IF('E-Gilts'!A7&lt;'Adj-Gilts'!$B$10,'E-Gilts'!A7," ")</f>
        <v>25</v>
      </c>
      <c r="C7" s="25">
        <f>IF('E-Gilts'!A7&lt;'Adj-Gilts'!$B$10,'E-Gilts'!C7," ")</f>
        <v>155.58491846174061</v>
      </c>
      <c r="D7" s="27">
        <f>IF('E-Gilts'!A7&lt;'Adj-Gilts'!$B$10,'E-Gilts'!G7," ")</f>
        <v>0.50272489810466192</v>
      </c>
      <c r="E7" s="26">
        <f>IF('E-Gilts'!A7&lt;'Adj-Gilts'!$B$10,'E-Gilts'!D7," ")</f>
        <v>0.94340294558149185</v>
      </c>
      <c r="F7" s="26"/>
      <c r="G7" s="216">
        <f t="shared" si="0"/>
        <v>25</v>
      </c>
      <c r="H7" s="27">
        <f>IF('E-Gilts'!A7&lt;'Adj-Gilts'!$B$10,'E-Gilts'!I7," ")</f>
        <v>12.843883417829433</v>
      </c>
      <c r="I7" s="217">
        <f>IF('E-Gilts'!A7&lt;'Adj-Gilts'!$B$10,'E-Gilts'!A7," ")</f>
        <v>25</v>
      </c>
      <c r="J7" s="25">
        <f>IF('E-Gilts'!A7&lt;'Adj-Gilts'!$B$10,'E-Gilts'!J7," ")</f>
        <v>244.53053749512191</v>
      </c>
      <c r="K7" s="27">
        <f>IF('E-Gilts'!A7&lt;'Adj-Gilts'!$B$10,'E-Gilts'!N7," ")</f>
        <v>1.2603648196241191</v>
      </c>
      <c r="L7" s="115">
        <f>IF('E-Gilts'!A7&lt;'Adj-Gilts'!$B$10,'E-Gilts'!K7," ")</f>
        <v>0.59142129278715017</v>
      </c>
      <c r="M7">
        <f>IF('E-Gilts'!A7&lt;'Adj-Gilts'!$B$10,'E-Gilts'!M7," ")</f>
        <v>0.4134625189815872</v>
      </c>
      <c r="N7" s="29">
        <f>IF('E-Gilts'!A7&lt;'Adj-Gilts'!$B$10,1/L7," ")</f>
        <v>1.690842065031797</v>
      </c>
      <c r="O7" s="19"/>
      <c r="P7" s="30">
        <f t="shared" si="1"/>
        <v>0.53909755469458598</v>
      </c>
      <c r="Q7" s="30">
        <f t="shared" si="2"/>
        <v>0.91152882263338597</v>
      </c>
      <c r="R7" s="30">
        <f t="shared" si="3"/>
        <v>28.315915935335141</v>
      </c>
    </row>
    <row r="8" spans="1:18" x14ac:dyDescent="0.25">
      <c r="A8" s="27">
        <f>IF('E-Gilts'!A8&lt;'Adj-Gilts'!$B$10,'E-Gilts'!B8," ")</f>
        <v>6.8148598338296154</v>
      </c>
      <c r="B8" s="25">
        <f>IF('E-Gilts'!A8&lt;'Adj-Gilts'!$B$10,'E-Gilts'!A8," ")</f>
        <v>26</v>
      </c>
      <c r="C8" s="25">
        <f>IF('E-Gilts'!A8&lt;'Adj-Gilts'!$B$10,'E-Gilts'!C8," ")</f>
        <v>178.34632572654118</v>
      </c>
      <c r="D8" s="27">
        <f>IF('E-Gilts'!A8&lt;'Adj-Gilts'!$B$10,'E-Gilts'!G8," ")</f>
        <v>0.69533755804102204</v>
      </c>
      <c r="E8" s="26">
        <f>IF('E-Gilts'!A8&lt;'Adj-Gilts'!$B$10,'E-Gilts'!D8," ")</f>
        <v>0.92593252066332199</v>
      </c>
      <c r="F8" s="26"/>
      <c r="G8" s="216">
        <f t="shared" si="0"/>
        <v>26</v>
      </c>
      <c r="H8" s="27">
        <f>IF('E-Gilts'!A8&lt;'Adj-Gilts'!$B$10,'E-Gilts'!I8," ")</f>
        <v>13.124187725736471</v>
      </c>
      <c r="I8" s="217">
        <f>IF('E-Gilts'!A8&lt;'Adj-Gilts'!$B$10,'E-Gilts'!A8," ")</f>
        <v>26</v>
      </c>
      <c r="J8" s="25">
        <f>IF('E-Gilts'!A8&lt;'Adj-Gilts'!$B$10,'E-Gilts'!J8," ")</f>
        <v>280.30430790703838</v>
      </c>
      <c r="K8" s="27">
        <f>IF('E-Gilts'!A8&lt;'Adj-Gilts'!$B$10,'E-Gilts'!N8," ")</f>
        <v>1.7432575932131282</v>
      </c>
      <c r="L8" s="115">
        <f>IF('E-Gilts'!A8&lt;'Adj-Gilts'!$B$10,'E-Gilts'!K8," ")</f>
        <v>0.58046904662442877</v>
      </c>
      <c r="M8">
        <f>IF('E-Gilts'!A8&lt;'Adj-Gilts'!$B$10,'E-Gilts'!M8," ")</f>
        <v>0.48289277358900928</v>
      </c>
      <c r="N8" s="29">
        <f>IF('E-Gilts'!A8&lt;'Adj-Gilts'!$B$10,1/L8," ")</f>
        <v>1.7227447455040843</v>
      </c>
      <c r="O8" s="19"/>
      <c r="P8" s="30">
        <f t="shared" si="1"/>
        <v>0.61796521821352146</v>
      </c>
      <c r="Q8" s="30">
        <f t="shared" si="2"/>
        <v>1.0645963325816288</v>
      </c>
      <c r="R8" s="30">
        <f t="shared" si="3"/>
        <v>28.933881153548661</v>
      </c>
    </row>
    <row r="9" spans="1:18" x14ac:dyDescent="0.25">
      <c r="A9" s="27">
        <f>IF('E-Gilts'!A9&lt;'Adj-Gilts'!$B$10,'E-Gilts'!B9," ")</f>
        <v>7.0153839409936527</v>
      </c>
      <c r="B9" s="25">
        <f>IF('E-Gilts'!A9&lt;'Adj-Gilts'!$B$10,'E-Gilts'!A9," ")</f>
        <v>27</v>
      </c>
      <c r="C9" s="25">
        <f>IF('E-Gilts'!A9&lt;'Adj-Gilts'!$B$10,'E-Gilts'!C9," ")</f>
        <v>200.52410716403733</v>
      </c>
      <c r="D9" s="27">
        <f>IF('E-Gilts'!A9&lt;'Adj-Gilts'!$B$10,'E-Gilts'!G9," ")</f>
        <v>0.9147557424482774</v>
      </c>
      <c r="E9" s="26">
        <f>IF('E-Gilts'!A9&lt;'Adj-Gilts'!$B$10,'E-Gilts'!D9," ")</f>
        <v>0.91389010307300089</v>
      </c>
      <c r="F9" s="26"/>
      <c r="G9" s="216">
        <f t="shared" si="0"/>
        <v>27</v>
      </c>
      <c r="H9" s="27">
        <f>IF('E-Gilts'!A9&lt;'Adj-Gilts'!$B$10,'E-Gilts'!I9," ")</f>
        <v>13.439348527891015</v>
      </c>
      <c r="I9" s="217">
        <f>IF('E-Gilts'!A9&lt;'Adj-Gilts'!$B$10,'E-Gilts'!A9," ")</f>
        <v>27</v>
      </c>
      <c r="J9" s="25">
        <f>IF('E-Gilts'!A9&lt;'Adj-Gilts'!$B$10,'E-Gilts'!J9," ")</f>
        <v>315.16080215454389</v>
      </c>
      <c r="K9" s="27">
        <f>IF('E-Gilts'!A9&lt;'Adj-Gilts'!$B$10,'E-Gilts'!N9," ")</f>
        <v>2.2933536028902299</v>
      </c>
      <c r="L9" s="115">
        <f>IF('E-Gilts'!A9&lt;'Adj-Gilts'!$B$10,'E-Gilts'!K9," ")</f>
        <v>0.57291962968344134</v>
      </c>
      <c r="M9">
        <f>IF('E-Gilts'!A9&lt;'Adj-Gilts'!$B$10,'E-Gilts'!M9," ")</f>
        <v>0.5500960096771017</v>
      </c>
      <c r="N9" s="29">
        <f>IF('E-Gilts'!A9&lt;'Adj-Gilts'!$B$10,1/L9," ")</f>
        <v>1.7454455183400435</v>
      </c>
      <c r="O9" s="19"/>
      <c r="P9" s="30">
        <f t="shared" si="1"/>
        <v>0.69481063394991383</v>
      </c>
      <c r="Q9" s="30">
        <f t="shared" si="2"/>
        <v>1.2127541071228813</v>
      </c>
      <c r="R9" s="30">
        <f t="shared" si="3"/>
        <v>29.628691787498575</v>
      </c>
    </row>
    <row r="10" spans="1:18" x14ac:dyDescent="0.25">
      <c r="A10" s="27">
        <f>IF('E-Gilts'!A10&lt;'Adj-Gilts'!$B$10,'E-Gilts'!B10," ")</f>
        <v>7.2375022037678862</v>
      </c>
      <c r="B10" s="25">
        <f>IF('E-Gilts'!A10&lt;'Adj-Gilts'!$B$10,'E-Gilts'!A10," ")</f>
        <v>28</v>
      </c>
      <c r="C10" s="25">
        <f>IF('E-Gilts'!A10&lt;'Adj-Gilts'!$B$10,'E-Gilts'!C10," ")</f>
        <v>222.11826277423353</v>
      </c>
      <c r="D10" s="27">
        <f>IF('E-Gilts'!A10&lt;'Adj-Gilts'!$B$10,'E-Gilts'!G10," ")</f>
        <v>1.1609794513264282</v>
      </c>
      <c r="E10" s="26">
        <f>IF('E-Gilts'!A10&lt;'Adj-Gilts'!$B$10,'E-Gilts'!D10," ")</f>
        <v>0.90209941108536196</v>
      </c>
      <c r="F10" s="26"/>
      <c r="G10" s="216">
        <f t="shared" si="0"/>
        <v>28</v>
      </c>
      <c r="H10" s="27">
        <f>IF('E-Gilts'!A10&lt;'Adj-Gilts'!$B$10,'E-Gilts'!I10," ")</f>
        <v>13.788448548128661</v>
      </c>
      <c r="I10" s="217">
        <f>IF('E-Gilts'!A10&lt;'Adj-Gilts'!$B$10,'E-Gilts'!A10," ")</f>
        <v>28</v>
      </c>
      <c r="J10" s="25">
        <f>IF('E-Gilts'!A10&lt;'Adj-Gilts'!$B$10,'E-Gilts'!J10," ")</f>
        <v>349.10002023764537</v>
      </c>
      <c r="K10" s="27">
        <f>IF('E-Gilts'!A10&lt;'Adj-Gilts'!$B$10,'E-Gilts'!N10," ")</f>
        <v>2.9106528486554248</v>
      </c>
      <c r="L10" s="115">
        <f>IF('E-Gilts'!A10&lt;'Adj-Gilts'!$B$10,'E-Gilts'!K10," ")</f>
        <v>0.56552802005274816</v>
      </c>
      <c r="M10">
        <f>IF('E-Gilts'!A10&lt;'Adj-Gilts'!$B$10,'E-Gilts'!M10," ")</f>
        <v>0.61729924576519468</v>
      </c>
      <c r="N10" s="29">
        <f>IF('E-Gilts'!A10&lt;'Adj-Gilts'!$B$10,1/L10," ")</f>
        <v>1.7682589801770168</v>
      </c>
      <c r="O10" s="19"/>
      <c r="P10" s="30">
        <f t="shared" si="1"/>
        <v>0.76963380190377839</v>
      </c>
      <c r="Q10" s="30">
        <f t="shared" si="2"/>
        <v>1.3609118816641352</v>
      </c>
      <c r="R10" s="30">
        <f t="shared" si="3"/>
        <v>30.398325589402354</v>
      </c>
    </row>
    <row r="11" spans="1:18" x14ac:dyDescent="0.25">
      <c r="A11" s="27">
        <f>IF('E-Gilts'!A11&lt;'Adj-Gilts'!$B$10,'E-Gilts'!B11," ")</f>
        <v>7.4806309963250106</v>
      </c>
      <c r="B11" s="25">
        <f>IF('E-Gilts'!A11&lt;'Adj-Gilts'!$B$10,'E-Gilts'!A11," ")</f>
        <v>29</v>
      </c>
      <c r="C11" s="25">
        <f>IF('E-Gilts'!A11&lt;'Adj-Gilts'!$B$10,'E-Gilts'!C11," ")</f>
        <v>243.12879255712437</v>
      </c>
      <c r="D11" s="27">
        <f>IF('E-Gilts'!A11&lt;'Adj-Gilts'!$B$10,'E-Gilts'!G11," ")</f>
        <v>1.4340086846754736</v>
      </c>
      <c r="E11" s="26">
        <f>IF('E-Gilts'!A11&lt;'Adj-Gilts'!$B$10,'E-Gilts'!D11," ")</f>
        <v>0.89048630278466967</v>
      </c>
      <c r="F11" s="26"/>
      <c r="G11" s="216">
        <f t="shared" si="0"/>
        <v>29</v>
      </c>
      <c r="H11" s="27">
        <f>IF('E-Gilts'!A11&lt;'Adj-Gilts'!$B$10,'E-Gilts'!I11," ")</f>
        <v>14.170570510284996</v>
      </c>
      <c r="I11" s="217">
        <f>IF('E-Gilts'!A11&lt;'Adj-Gilts'!$B$10,'E-Gilts'!A11," ")</f>
        <v>29</v>
      </c>
      <c r="J11" s="25">
        <f>IF('E-Gilts'!A11&lt;'Adj-Gilts'!$B$10,'E-Gilts'!J11," ")</f>
        <v>382.1219621563344</v>
      </c>
      <c r="K11" s="27">
        <f>IF('E-Gilts'!A11&lt;'Adj-Gilts'!$B$10,'E-Gilts'!N11," ")</f>
        <v>3.5951553305087107</v>
      </c>
      <c r="L11" s="115">
        <f>IF('E-Gilts'!A11&lt;'Adj-Gilts'!$B$10,'E-Gilts'!K11," ")</f>
        <v>0.55824773800927918</v>
      </c>
      <c r="M11">
        <f>IF('E-Gilts'!A11&lt;'Adj-Gilts'!$B$10,'E-Gilts'!M11," ")</f>
        <v>0.68450248185328577</v>
      </c>
      <c r="N11" s="29">
        <f>IF('E-Gilts'!A11&lt;'Adj-Gilts'!$B$10,1/L11," ")</f>
        <v>1.7913193944430779</v>
      </c>
      <c r="O11" s="19"/>
      <c r="P11" s="30">
        <f t="shared" si="1"/>
        <v>0.84243472207509662</v>
      </c>
      <c r="Q11" s="30">
        <f t="shared" si="2"/>
        <v>1.5090696562053849</v>
      </c>
      <c r="R11" s="30">
        <f t="shared" si="3"/>
        <v>31.240760311477452</v>
      </c>
    </row>
    <row r="12" spans="1:18" x14ac:dyDescent="0.25">
      <c r="A12" s="27">
        <f>IF('E-Gilts'!A12&lt;'Adj-Gilts'!$B$10,'E-Gilts'!B12," ")</f>
        <v>7.744186692837725</v>
      </c>
      <c r="B12" s="25">
        <f>IF('E-Gilts'!A12&lt;'Adj-Gilts'!$B$10,'E-Gilts'!A12," ")</f>
        <v>30</v>
      </c>
      <c r="C12" s="25">
        <f>IF('E-Gilts'!A12&lt;'Adj-Gilts'!$B$10,'E-Gilts'!C12," ")</f>
        <v>263.55569651271435</v>
      </c>
      <c r="D12" s="27">
        <f>IF('E-Gilts'!A12&lt;'Adj-Gilts'!$B$10,'E-Gilts'!G12," ")</f>
        <v>1.7338434424954148</v>
      </c>
      <c r="E12" s="26">
        <f>IF('E-Gilts'!A12&lt;'Adj-Gilts'!$B$10,'E-Gilts'!D12," ")</f>
        <v>0.87900314969816329</v>
      </c>
      <c r="F12" s="26"/>
      <c r="G12" s="216">
        <f t="shared" si="0"/>
        <v>30</v>
      </c>
      <c r="H12" s="27">
        <f>IF('E-Gilts'!A12&lt;'Adj-Gilts'!$B$10,'E-Gilts'!I12," ")</f>
        <v>14.584797138195615</v>
      </c>
      <c r="I12" s="217">
        <f>IF('E-Gilts'!A12&lt;'Adj-Gilts'!$B$10,'E-Gilts'!A12," ")</f>
        <v>30</v>
      </c>
      <c r="J12" s="25">
        <f>IF('E-Gilts'!A12&lt;'Adj-Gilts'!$B$10,'E-Gilts'!J12," ")</f>
        <v>414.22662791061799</v>
      </c>
      <c r="K12" s="27">
        <f>IF('E-Gilts'!A12&lt;'Adj-Gilts'!$B$10,'E-Gilts'!N12," ")</f>
        <v>4.3468610484500898</v>
      </c>
      <c r="L12" s="115">
        <f>IF('E-Gilts'!A12&lt;'Adj-Gilts'!$B$10,'E-Gilts'!K12," ")</f>
        <v>0.55104892516318582</v>
      </c>
      <c r="M12">
        <f>IF('E-Gilts'!A12&lt;'Adj-Gilts'!$B$10,'E-Gilts'!M12," ")</f>
        <v>0.7517057179413793</v>
      </c>
      <c r="N12" s="29">
        <f>IF('E-Gilts'!A12&lt;'Adj-Gilts'!$B$10,1/L12," ")</f>
        <v>1.8147208974300482</v>
      </c>
      <c r="O12" s="19"/>
      <c r="P12" s="30">
        <f t="shared" si="1"/>
        <v>0.91321339446388394</v>
      </c>
      <c r="Q12" s="30">
        <f t="shared" si="2"/>
        <v>1.6572274307466399</v>
      </c>
      <c r="R12" s="30">
        <f t="shared" si="3"/>
        <v>32.153973705941333</v>
      </c>
    </row>
    <row r="13" spans="1:18" x14ac:dyDescent="0.25">
      <c r="A13" s="27">
        <f>IF('E-Gilts'!A13&lt;'Adj-Gilts'!$B$10,'E-Gilts'!B13," ")</f>
        <v>8.0275856674787267</v>
      </c>
      <c r="B13" s="25">
        <f>IF('E-Gilts'!A13&lt;'Adj-Gilts'!$B$10,'E-Gilts'!A13," ")</f>
        <v>31</v>
      </c>
      <c r="C13" s="25">
        <f>IF('E-Gilts'!A13&lt;'Adj-Gilts'!$B$10,'E-Gilts'!C13," ")</f>
        <v>283.3989746410017</v>
      </c>
      <c r="D13" s="27">
        <f>IF('E-Gilts'!A13&lt;'Adj-Gilts'!$B$10,'E-Gilts'!G13," ")</f>
        <v>2.0604837247862506</v>
      </c>
      <c r="E13" s="26">
        <f>IF('E-Gilts'!A13&lt;'Adj-Gilts'!$B$10,'E-Gilts'!D13," ")</f>
        <v>0.86761795775288808</v>
      </c>
      <c r="F13" s="26"/>
      <c r="G13" s="216">
        <f t="shared" si="0"/>
        <v>31</v>
      </c>
      <c r="H13" s="27">
        <f>IF('E-Gilts'!A13&lt;'Adj-Gilts'!$B$10,'E-Gilts'!I13," ")</f>
        <v>15.030211155696108</v>
      </c>
      <c r="I13" s="217">
        <f>IF('E-Gilts'!A13&lt;'Adj-Gilts'!$B$10,'E-Gilts'!A13," ")</f>
        <v>31</v>
      </c>
      <c r="J13" s="25">
        <f>IF('E-Gilts'!A13&lt;'Adj-Gilts'!$B$10,'E-Gilts'!J13," ")</f>
        <v>445.4140175004934</v>
      </c>
      <c r="K13" s="27">
        <f>IF('E-Gilts'!A13&lt;'Adj-Gilts'!$B$10,'E-Gilts'!N13," ")</f>
        <v>5.1657700024795599</v>
      </c>
      <c r="L13" s="115">
        <f>IF('E-Gilts'!A13&lt;'Adj-Gilts'!$B$10,'E-Gilts'!K13," ")</f>
        <v>0.54391152436277368</v>
      </c>
      <c r="M13">
        <f>IF('E-Gilts'!A13&lt;'Adj-Gilts'!$B$10,'E-Gilts'!M13," ")</f>
        <v>0.81890895402946973</v>
      </c>
      <c r="N13" s="29">
        <f>IF('E-Gilts'!A13&lt;'Adj-Gilts'!$B$10,1/L13," ")</f>
        <v>1.8385343115712844</v>
      </c>
      <c r="O13" s="19"/>
      <c r="P13" s="30">
        <f t="shared" si="1"/>
        <v>0.98196981907013425</v>
      </c>
      <c r="Q13" s="30">
        <f t="shared" si="2"/>
        <v>1.805385205287888</v>
      </c>
      <c r="R13" s="30">
        <f t="shared" si="3"/>
        <v>33.13594352501147</v>
      </c>
    </row>
    <row r="14" spans="1:18" x14ac:dyDescent="0.25">
      <c r="A14" s="27">
        <f>IF('E-Gilts'!A14&lt;'Adj-Gilts'!$B$10,'E-Gilts'!B14," ")</f>
        <v>8.330244294420714</v>
      </c>
      <c r="B14" s="25">
        <f>IF('E-Gilts'!A14&lt;'Adj-Gilts'!$B$10,'E-Gilts'!A14," ")</f>
        <v>32</v>
      </c>
      <c r="C14" s="25">
        <f>IF('E-Gilts'!A14&lt;'Adj-Gilts'!$B$10,'E-Gilts'!C14," ")</f>
        <v>302.65862694198734</v>
      </c>
      <c r="D14" s="27">
        <f>IF('E-Gilts'!A14&lt;'Adj-Gilts'!$B$10,'E-Gilts'!G14," ")</f>
        <v>2.4139295315479834</v>
      </c>
      <c r="E14" s="26">
        <f>IF('E-Gilts'!A14&lt;'Adj-Gilts'!$B$10,'E-Gilts'!D14," ")</f>
        <v>0.85630843866827244</v>
      </c>
      <c r="F14" s="26"/>
      <c r="G14" s="216">
        <f t="shared" si="0"/>
        <v>32</v>
      </c>
      <c r="H14" s="27">
        <f>IF('E-Gilts'!A14&lt;'Adj-Gilts'!$B$10,'E-Gilts'!I14," ")</f>
        <v>15.505895286622071</v>
      </c>
      <c r="I14" s="217">
        <f>IF('E-Gilts'!A14&lt;'Adj-Gilts'!$B$10,'E-Gilts'!A14," ")</f>
        <v>32</v>
      </c>
      <c r="J14" s="25">
        <f>IF('E-Gilts'!A14&lt;'Adj-Gilts'!$B$10,'E-Gilts'!J14," ")</f>
        <v>475.68413092596199</v>
      </c>
      <c r="K14" s="27">
        <f>IF('E-Gilts'!A14&lt;'Adj-Gilts'!$B$10,'E-Gilts'!N14," ")</f>
        <v>6.0518821925971267</v>
      </c>
      <c r="L14" s="115">
        <f>IF('E-Gilts'!A14&lt;'Adj-Gilts'!$B$10,'E-Gilts'!K14," ")</f>
        <v>0.53682156303802764</v>
      </c>
      <c r="M14">
        <f>IF('E-Gilts'!A14&lt;'Adj-Gilts'!$B$10,'E-Gilts'!M14," ")</f>
        <v>0.88611219011756659</v>
      </c>
      <c r="N14" s="29">
        <f>IF('E-Gilts'!A14&lt;'Adj-Gilts'!$B$10,1/L14," ")</f>
        <v>1.8628163785759879</v>
      </c>
      <c r="O14" s="19"/>
      <c r="P14" s="30">
        <f t="shared" si="1"/>
        <v>1.0487039958938507</v>
      </c>
      <c r="Q14" s="30">
        <f t="shared" si="2"/>
        <v>1.9535429798291506</v>
      </c>
      <c r="R14" s="30">
        <f t="shared" si="3"/>
        <v>34.184647520905322</v>
      </c>
    </row>
    <row r="15" spans="1:18" x14ac:dyDescent="0.25">
      <c r="A15" s="27">
        <f>IF('E-Gilts'!A15&lt;'Adj-Gilts'!$B$10,'E-Gilts'!B15," ")</f>
        <v>8.6515789478363825</v>
      </c>
      <c r="B15" s="25">
        <f>IF('E-Gilts'!A15&lt;'Adj-Gilts'!$B$10,'E-Gilts'!A15," ")</f>
        <v>33</v>
      </c>
      <c r="C15" s="25">
        <f>IF('E-Gilts'!A15&lt;'Adj-Gilts'!$B$10,'E-Gilts'!C15," ")</f>
        <v>321.33465341566847</v>
      </c>
      <c r="D15" s="27">
        <f>IF('E-Gilts'!A15&lt;'Adj-Gilts'!$B$10,'E-Gilts'!G15," ")</f>
        <v>2.79418086278061</v>
      </c>
      <c r="E15" s="26">
        <f>IF('E-Gilts'!A15&lt;'Adj-Gilts'!$B$10,'E-Gilts'!D15," ")</f>
        <v>0.84505858894438823</v>
      </c>
      <c r="F15" s="26"/>
      <c r="G15" s="216">
        <f t="shared" si="0"/>
        <v>33</v>
      </c>
      <c r="H15" s="27">
        <f>IF('E-Gilts'!A15&lt;'Adj-Gilts'!$B$10,'E-Gilts'!I15," ")</f>
        <v>16.010932254809092</v>
      </c>
      <c r="I15" s="217">
        <f>IF('E-Gilts'!A15&lt;'Adj-Gilts'!$B$10,'E-Gilts'!A15," ")</f>
        <v>33</v>
      </c>
      <c r="J15" s="25">
        <f>IF('E-Gilts'!A15&lt;'Adj-Gilts'!$B$10,'E-Gilts'!J15," ")</f>
        <v>505.03696818701951</v>
      </c>
      <c r="K15" s="27">
        <f>IF('E-Gilts'!A15&lt;'Adj-Gilts'!$B$10,'E-Gilts'!N15," ")</f>
        <v>7.0051976188027814</v>
      </c>
      <c r="L15" s="115">
        <f>IF('E-Gilts'!A15&lt;'Adj-Gilts'!$B$10,'E-Gilts'!K15," ")</f>
        <v>0.5297690085611495</v>
      </c>
      <c r="M15">
        <f>IF('E-Gilts'!A15&lt;'Adj-Gilts'!$B$10,'E-Gilts'!M15," ")</f>
        <v>0.9533154262056549</v>
      </c>
      <c r="N15" s="29">
        <f>IF('E-Gilts'!A15&lt;'Adj-Gilts'!$B$10,1/L15," ")</f>
        <v>1.8876151376162904</v>
      </c>
      <c r="O15" s="19"/>
      <c r="P15" s="30">
        <f t="shared" si="1"/>
        <v>1.1134159249350237</v>
      </c>
      <c r="Q15" s="30">
        <f t="shared" si="2"/>
        <v>2.1017007543703938</v>
      </c>
      <c r="R15" s="30">
        <f t="shared" si="3"/>
        <v>35.298063445840349</v>
      </c>
    </row>
    <row r="16" spans="1:18" x14ac:dyDescent="0.25">
      <c r="A16" s="27">
        <f>IF('E-Gilts'!A16&lt;'Adj-Gilts'!$B$10,'E-Gilts'!B16," ")</f>
        <v>8.9910060018984286</v>
      </c>
      <c r="B16" s="25">
        <f>IF('E-Gilts'!A16&lt;'Adj-Gilts'!$B$10,'E-Gilts'!A16," ")</f>
        <v>34</v>
      </c>
      <c r="C16" s="25">
        <f>IF('E-Gilts'!A16&lt;'Adj-Gilts'!$B$10,'E-Gilts'!C16," ")</f>
        <v>339.42705406204607</v>
      </c>
      <c r="D16" s="27">
        <f>IF('E-Gilts'!A16&lt;'Adj-Gilts'!$B$10,'E-Gilts'!G16," ")</f>
        <v>3.2012377184841307</v>
      </c>
      <c r="E16" s="26">
        <f>IF('E-Gilts'!A16&lt;'Adj-Gilts'!$B$10,'E-Gilts'!D16," ")</f>
        <v>0.83385662053378429</v>
      </c>
      <c r="F16" s="26"/>
      <c r="G16" s="216">
        <f t="shared" si="0"/>
        <v>34</v>
      </c>
      <c r="H16" s="27">
        <f>IF('E-Gilts'!A16&lt;'Adj-Gilts'!$B$10,'E-Gilts'!I16," ")</f>
        <v>16.544404784092759</v>
      </c>
      <c r="I16" s="217">
        <f>IF('E-Gilts'!A16&lt;'Adj-Gilts'!$B$10,'E-Gilts'!A16," ")</f>
        <v>34</v>
      </c>
      <c r="J16" s="25">
        <f>IF('E-Gilts'!A16&lt;'Adj-Gilts'!$B$10,'E-Gilts'!J16," ")</f>
        <v>533.47252928366743</v>
      </c>
      <c r="K16" s="27">
        <f>IF('E-Gilts'!A16&lt;'Adj-Gilts'!$B$10,'E-Gilts'!N16," ")</f>
        <v>8.0257162810965266</v>
      </c>
      <c r="L16" s="115">
        <f>IF('E-Gilts'!A16&lt;'Adj-Gilts'!$B$10,'E-Gilts'!K16," ")</f>
        <v>0.52274647098037408</v>
      </c>
      <c r="M16">
        <f>IF('E-Gilts'!A16&lt;'Adj-Gilts'!$B$10,'E-Gilts'!M16," ")</f>
        <v>1.020518662293745</v>
      </c>
      <c r="N16" s="29">
        <f>IF('E-Gilts'!A16&lt;'Adj-Gilts'!$B$10,1/L16," ")</f>
        <v>1.9129732203157119</v>
      </c>
      <c r="O16" s="19"/>
      <c r="P16" s="30">
        <f t="shared" si="1"/>
        <v>1.1761056061936566</v>
      </c>
      <c r="Q16" s="30">
        <f t="shared" si="2"/>
        <v>2.2498585289116413</v>
      </c>
      <c r="R16" s="30">
        <f t="shared" si="3"/>
        <v>36.474169052034</v>
      </c>
    </row>
    <row r="17" spans="1:18" x14ac:dyDescent="0.25">
      <c r="A17" s="27">
        <f>IF('E-Gilts'!A17&lt;'Adj-Gilts'!$B$10,'E-Gilts'!B17," ")</f>
        <v>9.3479418307795541</v>
      </c>
      <c r="B17" s="25">
        <f>IF('E-Gilts'!A17&lt;'Adj-Gilts'!$B$10,'E-Gilts'!A17," ")</f>
        <v>35</v>
      </c>
      <c r="C17" s="25">
        <f>IF('E-Gilts'!A17&lt;'Adj-Gilts'!$B$10,'E-Gilts'!C17," ")</f>
        <v>356.93582888112553</v>
      </c>
      <c r="D17" s="27">
        <f>IF('E-Gilts'!A17&lt;'Adj-Gilts'!$B$10,'E-Gilts'!G17," ")</f>
        <v>3.6351000986585484</v>
      </c>
      <c r="E17" s="26">
        <f>IF('E-Gilts'!A17&lt;'Adj-Gilts'!$B$10,'E-Gilts'!D17," ")</f>
        <v>0.82269365861505006</v>
      </c>
      <c r="F17" s="26"/>
      <c r="G17" s="216">
        <f t="shared" si="0"/>
        <v>35</v>
      </c>
      <c r="H17" s="27">
        <f>IF('E-Gilts'!A17&lt;'Adj-Gilts'!$B$10,'E-Gilts'!I17," ")</f>
        <v>17.105395598308672</v>
      </c>
      <c r="I17" s="217">
        <f>IF('E-Gilts'!A17&lt;'Adj-Gilts'!$B$10,'E-Gilts'!A17," ")</f>
        <v>35</v>
      </c>
      <c r="J17" s="25">
        <f>IF('E-Gilts'!A17&lt;'Adj-Gilts'!$B$10,'E-Gilts'!J17," ")</f>
        <v>560.99081421591416</v>
      </c>
      <c r="K17" s="27">
        <f>IF('E-Gilts'!A17&lt;'Adj-Gilts'!$B$10,'E-Gilts'!N17," ")</f>
        <v>9.1134381794783685</v>
      </c>
      <c r="L17" s="115">
        <f>IF('E-Gilts'!A17&lt;'Adj-Gilts'!$B$10,'E-Gilts'!K17," ")</f>
        <v>0.51574838665147449</v>
      </c>
      <c r="M17">
        <f>IF('E-Gilts'!A17&lt;'Adj-Gilts'!$B$10,'E-Gilts'!M17," ")</f>
        <v>1.087721898381842</v>
      </c>
      <c r="N17" s="29">
        <f>IF('E-Gilts'!A17&lt;'Adj-Gilts'!$B$10,1/L17," ")</f>
        <v>1.9389299625202057</v>
      </c>
      <c r="O17" s="19"/>
      <c r="P17" s="30">
        <f t="shared" si="1"/>
        <v>1.236773039669768</v>
      </c>
      <c r="Q17" s="30">
        <f t="shared" si="2"/>
        <v>2.3980163034529043</v>
      </c>
      <c r="R17" s="30">
        <f t="shared" si="3"/>
        <v>37.710942091703771</v>
      </c>
    </row>
    <row r="18" spans="1:18" x14ac:dyDescent="0.25">
      <c r="A18" s="27">
        <f>IF('E-Gilts'!A18&lt;'Adj-Gilts'!$B$10,'E-Gilts'!B18," ")</f>
        <v>9.7218028086524519</v>
      </c>
      <c r="B18" s="25">
        <f>IF('E-Gilts'!A18&lt;'Adj-Gilts'!$B$10,'E-Gilts'!A18," ")</f>
        <v>36</v>
      </c>
      <c r="C18" s="25">
        <f>IF('E-Gilts'!A18&lt;'Adj-Gilts'!$B$10,'E-Gilts'!C18," ")</f>
        <v>373.86097787289782</v>
      </c>
      <c r="D18" s="27">
        <f>IF('E-Gilts'!A18&lt;'Adj-Gilts'!$B$10,'E-Gilts'!G18," ")</f>
        <v>4.0957680033038608</v>
      </c>
      <c r="E18" s="26">
        <f>IF('E-Gilts'!A18&lt;'Adj-Gilts'!$B$10,'E-Gilts'!D18," ")</f>
        <v>0.81156289401309423</v>
      </c>
      <c r="F18" s="26"/>
      <c r="G18" s="216">
        <f t="shared" si="0"/>
        <v>36</v>
      </c>
      <c r="H18" s="27">
        <f>IF('E-Gilts'!A18&lt;'Adj-Gilts'!$B$10,'E-Gilts'!I18," ")</f>
        <v>17.692987421292418</v>
      </c>
      <c r="I18" s="217">
        <f>IF('E-Gilts'!A18&lt;'Adj-Gilts'!$B$10,'E-Gilts'!A18," ")</f>
        <v>36</v>
      </c>
      <c r="J18" s="25">
        <f>IF('E-Gilts'!A18&lt;'Adj-Gilts'!$B$10,'E-Gilts'!J18," ")</f>
        <v>587.5918229837456</v>
      </c>
      <c r="K18" s="27">
        <f>IF('E-Gilts'!A18&lt;'Adj-Gilts'!$B$10,'E-Gilts'!N18," ")</f>
        <v>10.268363313948301</v>
      </c>
      <c r="L18" s="115">
        <f>IF('E-Gilts'!A18&lt;'Adj-Gilts'!$B$10,'E-Gilts'!K18," ")</f>
        <v>0.50877048688825033</v>
      </c>
      <c r="M18">
        <f>IF('E-Gilts'!A18&lt;'Adj-Gilts'!$B$10,'E-Gilts'!M18," ")</f>
        <v>1.1549251344699325</v>
      </c>
      <c r="N18" s="29">
        <f>IF('E-Gilts'!A18&lt;'Adj-Gilts'!$B$10,1/L18," ")</f>
        <v>1.9655228158304052</v>
      </c>
      <c r="O18" s="19"/>
      <c r="P18" s="30">
        <f t="shared" si="1"/>
        <v>1.2954182253633268</v>
      </c>
      <c r="Q18" s="30">
        <f t="shared" si="2"/>
        <v>2.5461740779941522</v>
      </c>
      <c r="R18" s="30">
        <f t="shared" si="3"/>
        <v>39.006360317067099</v>
      </c>
    </row>
    <row r="19" spans="1:18" x14ac:dyDescent="0.25">
      <c r="A19" s="27">
        <f>IF('E-Gilts'!A19&lt;'Adj-Gilts'!$B$10,'E-Gilts'!B19," ")</f>
        <v>10.112005309689822</v>
      </c>
      <c r="B19" s="25">
        <f>IF('E-Gilts'!A19&lt;'Adj-Gilts'!$B$10,'E-Gilts'!A19," ")</f>
        <v>37</v>
      </c>
      <c r="C19" s="25">
        <f>IF('E-Gilts'!A19&lt;'Adj-Gilts'!$B$10,'E-Gilts'!C19," ")</f>
        <v>390.20250103737021</v>
      </c>
      <c r="D19" s="27">
        <f>IF('E-Gilts'!A19&lt;'Adj-Gilts'!$B$10,'E-Gilts'!G19," ")</f>
        <v>4.5832414324200688</v>
      </c>
      <c r="E19" s="26">
        <f>IF('E-Gilts'!A19&lt;'Adj-Gilts'!$B$10,'E-Gilts'!D19," ")</f>
        <v>0.80045901526327234</v>
      </c>
      <c r="F19" s="26"/>
      <c r="G19" s="216">
        <f t="shared" si="0"/>
        <v>37</v>
      </c>
      <c r="H19" s="27">
        <f>IF('E-Gilts'!A19&lt;'Adj-Gilts'!$B$10,'E-Gilts'!I19," ")</f>
        <v>18.306262976879591</v>
      </c>
      <c r="I19" s="217">
        <f>IF('E-Gilts'!A19&lt;'Adj-Gilts'!$B$10,'E-Gilts'!A19," ")</f>
        <v>37</v>
      </c>
      <c r="J19" s="25">
        <f>IF('E-Gilts'!A19&lt;'Adj-Gilts'!$B$10,'E-Gilts'!J19," ")</f>
        <v>613.27555558717313</v>
      </c>
      <c r="K19" s="27">
        <f>IF('E-Gilts'!A19&lt;'Adj-Gilts'!$B$10,'E-Gilts'!N19," ")</f>
        <v>11.490491684506328</v>
      </c>
      <c r="L19" s="115">
        <f>IF('E-Gilts'!A19&lt;'Adj-Gilts'!$B$10,'E-Gilts'!K19," ")</f>
        <v>0.50180944192233312</v>
      </c>
      <c r="M19">
        <f>IF('E-Gilts'!A19&lt;'Adj-Gilts'!$B$10,'E-Gilts'!M19," ")</f>
        <v>1.2221283705580257</v>
      </c>
      <c r="N19" s="29">
        <f>IF('E-Gilts'!A19&lt;'Adj-Gilts'!$B$10,1/L19," ")</f>
        <v>1.9927883305048963</v>
      </c>
      <c r="O19" s="19"/>
      <c r="P19" s="30">
        <f t="shared" si="1"/>
        <v>1.3520411632743583</v>
      </c>
      <c r="Q19" s="30">
        <f t="shared" si="2"/>
        <v>2.6943318525354067</v>
      </c>
      <c r="R19" s="30">
        <f t="shared" si="3"/>
        <v>40.358401480341456</v>
      </c>
    </row>
    <row r="20" spans="1:18" x14ac:dyDescent="0.25">
      <c r="A20" s="27">
        <f>IF('E-Gilts'!A20&lt;'Adj-Gilts'!$B$10,'E-Gilts'!B20," ")</f>
        <v>10.517965708064361</v>
      </c>
      <c r="B20" s="25">
        <f>IF('E-Gilts'!A20&lt;'Adj-Gilts'!$B$10,'E-Gilts'!A20," ")</f>
        <v>38</v>
      </c>
      <c r="C20" s="25">
        <f>IF('E-Gilts'!A20&lt;'Adj-Gilts'!$B$10,'E-Gilts'!C20," ")</f>
        <v>405.96039837453901</v>
      </c>
      <c r="D20" s="27">
        <f>IF('E-Gilts'!A20&lt;'Adj-Gilts'!$B$10,'E-Gilts'!G20," ")</f>
        <v>5.0975203860071723</v>
      </c>
      <c r="E20" s="26">
        <f>IF('E-Gilts'!A20&lt;'Adj-Gilts'!$B$10,'E-Gilts'!D20," ")</f>
        <v>0.78937781828900255</v>
      </c>
      <c r="F20" s="26"/>
      <c r="G20" s="216">
        <f t="shared" si="0"/>
        <v>38</v>
      </c>
      <c r="H20" s="27">
        <f>IF('E-Gilts'!A20&lt;'Adj-Gilts'!$B$10,'E-Gilts'!I20," ")</f>
        <v>18.944304988905781</v>
      </c>
      <c r="I20" s="217">
        <f>IF('E-Gilts'!A20&lt;'Adj-Gilts'!$B$10,'E-Gilts'!A20," ")</f>
        <v>38</v>
      </c>
      <c r="J20" s="25">
        <f>IF('E-Gilts'!A20&lt;'Adj-Gilts'!$B$10,'E-Gilts'!J20," ")</f>
        <v>638.04201202619095</v>
      </c>
      <c r="K20" s="27">
        <f>IF('E-Gilts'!A20&lt;'Adj-Gilts'!$B$10,'E-Gilts'!N20," ")</f>
        <v>12.779823291152447</v>
      </c>
      <c r="L20" s="115">
        <f>IF('E-Gilts'!A20&lt;'Adj-Gilts'!$B$10,'E-Gilts'!K20," ")</f>
        <v>0.49486261620926292</v>
      </c>
      <c r="M20">
        <f>IF('E-Gilts'!A20&lt;'Adj-Gilts'!$B$10,'E-Gilts'!M20," ")</f>
        <v>1.2893316066461193</v>
      </c>
      <c r="N20" s="29">
        <f>IF('E-Gilts'!A20&lt;'Adj-Gilts'!$B$10,1/L20," ")</f>
        <v>2.0207628688143404</v>
      </c>
      <c r="O20" s="19"/>
      <c r="P20" s="30">
        <f t="shared" si="1"/>
        <v>1.4066418534028491</v>
      </c>
      <c r="Q20" s="30">
        <f t="shared" si="2"/>
        <v>2.8424896270766622</v>
      </c>
      <c r="R20" s="30">
        <f t="shared" si="3"/>
        <v>41.765043333744302</v>
      </c>
    </row>
    <row r="21" spans="1:18" x14ac:dyDescent="0.25">
      <c r="A21" s="27">
        <f>IF('E-Gilts'!A21&lt;'Adj-Gilts'!$B$10,'E-Gilts'!B21," ")</f>
        <v>10.939100377948769</v>
      </c>
      <c r="B21" s="25">
        <f>IF('E-Gilts'!A21&lt;'Adj-Gilts'!$B$10,'E-Gilts'!A21," ")</f>
        <v>39</v>
      </c>
      <c r="C21" s="25">
        <f>IF('E-Gilts'!A21&lt;'Adj-Gilts'!$B$10,'E-Gilts'!C21," ")</f>
        <v>421.13466988440786</v>
      </c>
      <c r="D21" s="27">
        <f>IF('E-Gilts'!A21&lt;'Adj-Gilts'!$B$10,'E-Gilts'!G21," ")</f>
        <v>5.6386048640651705</v>
      </c>
      <c r="E21" s="26">
        <f>IF('E-Gilts'!A21&lt;'Adj-Gilts'!$B$10,'E-Gilts'!D21," ")</f>
        <v>0.77831593209973204</v>
      </c>
      <c r="F21" s="26"/>
      <c r="G21" s="216">
        <f t="shared" si="0"/>
        <v>39</v>
      </c>
      <c r="H21" s="27">
        <f>IF('E-Gilts'!A21&lt;'Adj-Gilts'!$B$10,'E-Gilts'!I21," ")</f>
        <v>19.606196181206585</v>
      </c>
      <c r="I21" s="217">
        <f>IF('E-Gilts'!A21&lt;'Adj-Gilts'!$B$10,'E-Gilts'!A21," ")</f>
        <v>39</v>
      </c>
      <c r="J21" s="25">
        <f>IF('E-Gilts'!A21&lt;'Adj-Gilts'!$B$10,'E-Gilts'!J21," ")</f>
        <v>661.89119230080473</v>
      </c>
      <c r="K21" s="27">
        <f>IF('E-Gilts'!A21&lt;'Adj-Gilts'!$B$10,'E-Gilts'!N21," ")</f>
        <v>14.136358133886656</v>
      </c>
      <c r="L21" s="115">
        <f>IF('E-Gilts'!A21&lt;'Adj-Gilts'!$B$10,'E-Gilts'!K21," ")</f>
        <v>0.48792789646796492</v>
      </c>
      <c r="M21">
        <f>IF('E-Gilts'!A21&lt;'Adj-Gilts'!$B$10,'E-Gilts'!M21," ")</f>
        <v>1.3565348427342101</v>
      </c>
      <c r="N21" s="29">
        <f>IF('E-Gilts'!A21&lt;'Adj-Gilts'!$B$10,1/L21," ")</f>
        <v>2.0494831454377715</v>
      </c>
      <c r="O21" s="19"/>
      <c r="P21" s="30">
        <f t="shared" si="1"/>
        <v>1.4592202957488123</v>
      </c>
      <c r="Q21" s="30">
        <f t="shared" si="2"/>
        <v>2.9906474016179105</v>
      </c>
      <c r="R21" s="30">
        <f t="shared" si="3"/>
        <v>43.224263629493116</v>
      </c>
    </row>
    <row r="22" spans="1:18" x14ac:dyDescent="0.25">
      <c r="A22" s="27">
        <f>IF('E-Gilts'!A22&lt;'Adj-Gilts'!$B$10,'E-Gilts'!B22," ")</f>
        <v>11.374825693515737</v>
      </c>
      <c r="B22" s="25">
        <f>IF('E-Gilts'!A22&lt;'Adj-Gilts'!$B$10,'E-Gilts'!A22," ")</f>
        <v>40</v>
      </c>
      <c r="C22" s="25">
        <f>IF('E-Gilts'!A22&lt;'Adj-Gilts'!$B$10,'E-Gilts'!C22," ")</f>
        <v>435.72531556696782</v>
      </c>
      <c r="D22" s="27">
        <f>IF('E-Gilts'!A22&lt;'Adj-Gilts'!$B$10,'E-Gilts'!G22," ")</f>
        <v>6.2064948665940634</v>
      </c>
      <c r="E22" s="26">
        <f>IF('E-Gilts'!A22&lt;'Adj-Gilts'!$B$10,'E-Gilts'!D22," ")</f>
        <v>0.76727062217440412</v>
      </c>
      <c r="F22" s="26"/>
      <c r="G22" s="216">
        <f t="shared" si="0"/>
        <v>40</v>
      </c>
      <c r="H22" s="27">
        <f>IF('E-Gilts'!A22&lt;'Adj-Gilts'!$B$10,'E-Gilts'!I22," ")</f>
        <v>20.291019277617586</v>
      </c>
      <c r="I22" s="217">
        <f>IF('E-Gilts'!A22&lt;'Adj-Gilts'!$B$10,'E-Gilts'!A22," ")</f>
        <v>40</v>
      </c>
      <c r="J22" s="25">
        <f>IF('E-Gilts'!A22&lt;'Adj-Gilts'!$B$10,'E-Gilts'!J22," ")</f>
        <v>684.82309641100051</v>
      </c>
      <c r="K22" s="27">
        <f>IF('E-Gilts'!A22&lt;'Adj-Gilts'!$B$10,'E-Gilts'!N22," ")</f>
        <v>15.560096212708958</v>
      </c>
      <c r="L22" s="115">
        <f>IF('E-Gilts'!A22&lt;'Adj-Gilts'!$B$10,'E-Gilts'!K22," ")</f>
        <v>0.48100356842143144</v>
      </c>
      <c r="M22">
        <f>IF('E-Gilts'!A22&lt;'Adj-Gilts'!$B$10,'E-Gilts'!M22," ")</f>
        <v>1.423738078822302</v>
      </c>
      <c r="N22" s="29">
        <f>IF('E-Gilts'!A22&lt;'Adj-Gilts'!$B$10,1/L22," ")</f>
        <v>2.0789866555082388</v>
      </c>
      <c r="O22" s="19"/>
      <c r="P22" s="30">
        <f t="shared" si="1"/>
        <v>1.5097764903122168</v>
      </c>
      <c r="Q22" s="30">
        <f t="shared" si="2"/>
        <v>3.138805176159162</v>
      </c>
      <c r="R22" s="30">
        <f t="shared" si="3"/>
        <v>44.734040119805336</v>
      </c>
    </row>
    <row r="23" spans="1:18" x14ac:dyDescent="0.25">
      <c r="A23" s="27">
        <f>IF('E-Gilts'!A23&lt;'Adj-Gilts'!$B$10,'E-Gilts'!B23," ")</f>
        <v>11.82455802893797</v>
      </c>
      <c r="B23" s="25">
        <f>IF('E-Gilts'!A23&lt;'Adj-Gilts'!$B$10,'E-Gilts'!A23," ")</f>
        <v>41</v>
      </c>
      <c r="C23" s="25">
        <f>IF('E-Gilts'!A23&lt;'Adj-Gilts'!$B$10,'E-Gilts'!C23," ")</f>
        <v>449.73233542223312</v>
      </c>
      <c r="D23" s="27">
        <f>IF('E-Gilts'!A23&lt;'Adj-Gilts'!$B$10,'E-Gilts'!G23," ")</f>
        <v>6.7958292886996734</v>
      </c>
      <c r="E23" s="26">
        <f>IF('E-Gilts'!A23&lt;'Adj-Gilts'!$B$10,'E-Gilts'!D23," ")</f>
        <v>0.76311906882242153</v>
      </c>
      <c r="F23" s="26"/>
      <c r="G23" s="216">
        <f t="shared" si="0"/>
        <v>41</v>
      </c>
      <c r="H23" s="27">
        <f>IF('E-Gilts'!A23&lt;'Adj-Gilts'!$B$10,'E-Gilts'!I23," ")</f>
        <v>20.997857001974388</v>
      </c>
      <c r="I23" s="217">
        <f>IF('E-Gilts'!A23&lt;'Adj-Gilts'!$B$10,'E-Gilts'!A23," ")</f>
        <v>41</v>
      </c>
      <c r="J23" s="25">
        <f>IF('E-Gilts'!A23&lt;'Adj-Gilts'!$B$10,'E-Gilts'!J23," ")</f>
        <v>706.83772435680066</v>
      </c>
      <c r="K23" s="27">
        <f>IF('E-Gilts'!A23&lt;'Adj-Gilts'!$B$10,'E-Gilts'!N23," ")</f>
        <v>17.037596880401736</v>
      </c>
      <c r="L23" s="115">
        <f>IF('E-Gilts'!A23&lt;'Adj-Gilts'!$B$10,'E-Gilts'!K23," ")</f>
        <v>0.47840095088456236</v>
      </c>
      <c r="M23">
        <f>IF('E-Gilts'!A23&lt;'Adj-Gilts'!$B$10,'E-Gilts'!M23," ")</f>
        <v>1.4775006676927778</v>
      </c>
      <c r="N23" s="29">
        <f>IF('E-Gilts'!A23&lt;'Adj-Gilts'!$B$10,1/L23," ")</f>
        <v>2.0902968485973994</v>
      </c>
      <c r="O23" s="19"/>
      <c r="P23" s="30">
        <f t="shared" si="1"/>
        <v>1.558310437093112</v>
      </c>
      <c r="Q23" s="30">
        <f t="shared" si="2"/>
        <v>3.2573313957921686</v>
      </c>
      <c r="R23" s="30">
        <f t="shared" si="3"/>
        <v>46.292350556898448</v>
      </c>
    </row>
    <row r="24" spans="1:18" x14ac:dyDescent="0.25">
      <c r="A24" s="27">
        <f>IF('E-Gilts'!A24&lt;'Adj-Gilts'!$B$10,'E-Gilts'!B24," ")</f>
        <v>12.287713758388159</v>
      </c>
      <c r="B24" s="25">
        <f>IF('E-Gilts'!A24&lt;'Adj-Gilts'!$B$10,'E-Gilts'!A24," ")</f>
        <v>42</v>
      </c>
      <c r="C24" s="25">
        <f>IF('E-Gilts'!A24&lt;'Adj-Gilts'!$B$10,'E-Gilts'!C24," ")</f>
        <v>463.1557294501896</v>
      </c>
      <c r="D24" s="27">
        <f>IF('E-Gilts'!A24&lt;'Adj-Gilts'!$B$10,'E-Gilts'!G24," ")</f>
        <v>7.4066081303819988</v>
      </c>
      <c r="E24" s="26">
        <f>IF('E-Gilts'!A24&lt;'Adj-Gilts'!$B$10,'E-Gilts'!D24," ")</f>
        <v>0.75830349357629412</v>
      </c>
      <c r="F24" s="26"/>
      <c r="G24" s="216">
        <f t="shared" si="0"/>
        <v>42</v>
      </c>
      <c r="H24" s="27">
        <f>IF('E-Gilts'!A24&lt;'Adj-Gilts'!$B$10,'E-Gilts'!I24," ")</f>
        <v>21.725792078112573</v>
      </c>
      <c r="I24" s="217">
        <f>IF('E-Gilts'!A24&lt;'Adj-Gilts'!$B$10,'E-Gilts'!A24," ")</f>
        <v>42</v>
      </c>
      <c r="J24" s="25">
        <f>IF('E-Gilts'!A24&lt;'Adj-Gilts'!$B$10,'E-Gilts'!J24," ")</f>
        <v>727.93507613818281</v>
      </c>
      <c r="K24" s="27">
        <f>IF('E-Gilts'!A24&lt;'Adj-Gilts'!$B$10,'E-Gilts'!N24," ")</f>
        <v>18.568860136964986</v>
      </c>
      <c r="L24" s="115">
        <f>IF('E-Gilts'!A24&lt;'Adj-Gilts'!$B$10,'E-Gilts'!K24," ")</f>
        <v>0.47538205662424921</v>
      </c>
      <c r="M24">
        <f>IF('E-Gilts'!A24&lt;'Adj-Gilts'!$B$10,'E-Gilts'!M24," ")</f>
        <v>1.5312632565632491</v>
      </c>
      <c r="N24" s="29">
        <f>IF('E-Gilts'!A24&lt;'Adj-Gilts'!$B$10,1/L24," ")</f>
        <v>2.10357119303394</v>
      </c>
      <c r="O24" s="19"/>
      <c r="P24" s="30">
        <f t="shared" si="1"/>
        <v>1.6048221360914487</v>
      </c>
      <c r="Q24" s="30">
        <f t="shared" si="2"/>
        <v>3.3758576154251649</v>
      </c>
      <c r="R24" s="30">
        <f t="shared" si="3"/>
        <v>47.897172692989905</v>
      </c>
    </row>
    <row r="25" spans="1:18" x14ac:dyDescent="0.25">
      <c r="A25" s="27">
        <f>IF('E-Gilts'!A25&lt;'Adj-Gilts'!$B$10,'E-Gilts'!B25," ")</f>
        <v>12.761240321499841</v>
      </c>
      <c r="B25" s="25">
        <f>IF('E-Gilts'!A25&lt;'Adj-Gilts'!$B$10,'E-Gilts'!A25," ")</f>
        <v>43</v>
      </c>
      <c r="C25" s="25">
        <f>IF('E-Gilts'!A25&lt;'Adj-Gilts'!$B$10,'E-Gilts'!C25," ")</f>
        <v>473.52656311168141</v>
      </c>
      <c r="D25" s="27">
        <f>IF('E-Gilts'!A25&lt;'Adj-Gilts'!$B$10,'E-Gilts'!G25," ")</f>
        <v>8.0388313916410397</v>
      </c>
      <c r="E25" s="26">
        <f>IF('E-Gilts'!A25&lt;'Adj-Gilts'!$B$10,'E-Gilts'!D25," ")</f>
        <v>0.74898630298524072</v>
      </c>
      <c r="F25" s="26"/>
      <c r="G25" s="216">
        <f t="shared" si="0"/>
        <v>43</v>
      </c>
      <c r="H25" s="27">
        <f>IF('E-Gilts'!A25&lt;'Adj-Gilts'!$B$10,'E-Gilts'!I25," ")</f>
        <v>22.470026841614995</v>
      </c>
      <c r="I25" s="217">
        <f>IF('E-Gilts'!A25&lt;'Adj-Gilts'!$B$10,'E-Gilts'!A25," ")</f>
        <v>43</v>
      </c>
      <c r="J25" s="25">
        <f>IF('E-Gilts'!A25&lt;'Adj-Gilts'!$B$10,'E-Gilts'!J25," ")</f>
        <v>744.23476350242254</v>
      </c>
      <c r="K25" s="27">
        <f>IF('E-Gilts'!A25&lt;'Adj-Gilts'!$B$10,'E-Gilts'!N25," ")</f>
        <v>20.153885982398709</v>
      </c>
      <c r="L25" s="115">
        <f>IF('E-Gilts'!A25&lt;'Adj-Gilts'!$B$10,'E-Gilts'!K25," ")</f>
        <v>0.4695410902266845</v>
      </c>
      <c r="M25">
        <f>IF('E-Gilts'!A25&lt;'Adj-Gilts'!$B$10,'E-Gilts'!M25," ")</f>
        <v>1.5850258454337229</v>
      </c>
      <c r="N25" s="29">
        <f>IF('E-Gilts'!A25&lt;'Adj-Gilts'!$B$10,1/L25," ")</f>
        <v>2.1297390597215275</v>
      </c>
      <c r="O25" s="19"/>
      <c r="P25" s="30">
        <f t="shared" si="1"/>
        <v>1.6407567955837143</v>
      </c>
      <c r="Q25" s="30">
        <f t="shared" si="2"/>
        <v>3.4943838350581666</v>
      </c>
      <c r="R25" s="30">
        <f t="shared" si="3"/>
        <v>49.53792948857361</v>
      </c>
    </row>
    <row r="26" spans="1:18" x14ac:dyDescent="0.25">
      <c r="A26" s="27">
        <f>IF('E-Gilts'!A26&lt;'Adj-Gilts'!$B$10,'E-Gilts'!B26," ")</f>
        <v>13.245369938634321</v>
      </c>
      <c r="B26" s="25">
        <f>IF('E-Gilts'!A26&lt;'Adj-Gilts'!$B$10,'E-Gilts'!A26," ")</f>
        <v>44</v>
      </c>
      <c r="C26" s="25">
        <f>IF('E-Gilts'!A26&lt;'Adj-Gilts'!$B$10,'E-Gilts'!C26," ")</f>
        <v>484.12961713447976</v>
      </c>
      <c r="D26" s="27">
        <f>IF('E-Gilts'!A26&lt;'Adj-Gilts'!$B$10,'E-Gilts'!G26," ")</f>
        <v>8.6924990724767977</v>
      </c>
      <c r="E26" s="26">
        <f>IF('E-Gilts'!A26&lt;'Adj-Gilts'!$B$10,'E-Gilts'!D26," ")</f>
        <v>0.7406356950606573</v>
      </c>
      <c r="F26" s="26"/>
      <c r="G26" s="216">
        <f t="shared" si="0"/>
        <v>44</v>
      </c>
      <c r="H26" s="27">
        <f>IF('E-Gilts'!A26&lt;'Adj-Gilts'!$B$10,'E-Gilts'!I26," ")</f>
        <v>23.230926269822191</v>
      </c>
      <c r="I26" s="217">
        <f>IF('E-Gilts'!A26&lt;'Adj-Gilts'!$B$10,'E-Gilts'!A26," ")</f>
        <v>44</v>
      </c>
      <c r="J26" s="25">
        <f>IF('E-Gilts'!A26&lt;'Adj-Gilts'!$B$10,'E-Gilts'!J26," ")</f>
        <v>760.89942820719773</v>
      </c>
      <c r="K26" s="27">
        <f>IF('E-Gilts'!A26&lt;'Adj-Gilts'!$B$10,'E-Gilts'!N26," ")</f>
        <v>21.792674416702909</v>
      </c>
      <c r="L26" s="115">
        <f>IF('E-Gilts'!A26&lt;'Adj-Gilts'!$B$10,'E-Gilts'!K26," ")</f>
        <v>0.46430607653773354</v>
      </c>
      <c r="M26">
        <f>IF('E-Gilts'!A26&lt;'Adj-Gilts'!$B$10,'E-Gilts'!M26," ")</f>
        <v>1.6387884343041985</v>
      </c>
      <c r="N26" s="29">
        <f>IF('E-Gilts'!A26&lt;'Adj-Gilts'!$B$10,1/L26," ")</f>
        <v>2.1537516964172907</v>
      </c>
      <c r="O26" s="19"/>
      <c r="P26" s="30">
        <f t="shared" si="1"/>
        <v>1.6774960923773865</v>
      </c>
      <c r="Q26" s="30">
        <f t="shared" si="2"/>
        <v>3.6129100546911723</v>
      </c>
      <c r="R26" s="30">
        <f t="shared" si="3"/>
        <v>51.215425580950999</v>
      </c>
    </row>
    <row r="27" spans="1:18" x14ac:dyDescent="0.25">
      <c r="A27" s="27">
        <f>IF('E-Gilts'!A27&lt;'Adj-Gilts'!$B$10,'E-Gilts'!B27," ")</f>
        <v>13.740340029956315</v>
      </c>
      <c r="B27" s="25">
        <f>IF('E-Gilts'!A27&lt;'Adj-Gilts'!$B$10,'E-Gilts'!A27," ")</f>
        <v>45</v>
      </c>
      <c r="C27" s="25">
        <f>IF('E-Gilts'!A27&lt;'Adj-Gilts'!$B$10,'E-Gilts'!C27," ")</f>
        <v>494.97009132199389</v>
      </c>
      <c r="D27" s="27">
        <f>IF('E-Gilts'!A27&lt;'Adj-Gilts'!$B$10,'E-Gilts'!G27," ")</f>
        <v>9.367611172889271</v>
      </c>
      <c r="E27" s="26">
        <f>IF('E-Gilts'!A27&lt;'Adj-Gilts'!$B$10,'E-Gilts'!D27," ")</f>
        <v>0.7331672636582599</v>
      </c>
      <c r="F27" s="26"/>
      <c r="G27" s="216">
        <f t="shared" si="0"/>
        <v>45</v>
      </c>
      <c r="H27" s="27">
        <f>IF('E-Gilts'!A27&lt;'Adj-Gilts'!$B$10,'E-Gilts'!I27," ")</f>
        <v>24.008863512529558</v>
      </c>
      <c r="I27" s="217">
        <f>IF('E-Gilts'!A27&lt;'Adj-Gilts'!$B$10,'E-Gilts'!A27," ")</f>
        <v>45</v>
      </c>
      <c r="J27" s="25">
        <f>IF('E-Gilts'!A27&lt;'Adj-Gilts'!$B$10,'E-Gilts'!J27," ")</f>
        <v>777.93724270736527</v>
      </c>
      <c r="K27" s="27">
        <f>IF('E-Gilts'!A27&lt;'Adj-Gilts'!$B$10,'E-Gilts'!N27," ")</f>
        <v>23.485225439877581</v>
      </c>
      <c r="L27" s="115">
        <f>IF('E-Gilts'!A27&lt;'Adj-Gilts'!$B$10,'E-Gilts'!K27," ")</f>
        <v>0.45962410116783953</v>
      </c>
      <c r="M27">
        <f>IF('E-Gilts'!A27&lt;'Adj-Gilts'!$B$10,'E-Gilts'!M27," ")</f>
        <v>1.692551023174671</v>
      </c>
      <c r="N27" s="29">
        <f>IF('E-Gilts'!A27&lt;'Adj-Gilts'!$B$10,1/L27," ")</f>
        <v>2.1756909558466191</v>
      </c>
      <c r="O27" s="19"/>
      <c r="P27" s="30">
        <f t="shared" si="1"/>
        <v>1.715058043651319</v>
      </c>
      <c r="Q27" s="30">
        <f t="shared" si="2"/>
        <v>3.7314362743241714</v>
      </c>
      <c r="R27" s="30">
        <f t="shared" si="3"/>
        <v>52.930483624602324</v>
      </c>
    </row>
    <row r="28" spans="1:18" x14ac:dyDescent="0.25">
      <c r="A28" s="27">
        <f>IF('E-Gilts'!A28&lt;'Adj-Gilts'!$B$10,'E-Gilts'!B28," ")</f>
        <v>14.24639333186626</v>
      </c>
      <c r="B28" s="25">
        <f>IF('E-Gilts'!A28&lt;'Adj-Gilts'!$B$10,'E-Gilts'!A28," ")</f>
        <v>46</v>
      </c>
      <c r="C28" s="25">
        <f>IF('E-Gilts'!A28&lt;'Adj-Gilts'!$B$10,'E-Gilts'!C28," ")</f>
        <v>506.05330190994556</v>
      </c>
      <c r="D28" s="27">
        <f>IF('E-Gilts'!A28&lt;'Adj-Gilts'!$B$10,'E-Gilts'!G28," ")</f>
        <v>10.064167692878463</v>
      </c>
      <c r="E28" s="26">
        <f>IF('E-Gilts'!A28&lt;'Adj-Gilts'!$B$10,'E-Gilts'!D28," ")</f>
        <v>0.72650716400988924</v>
      </c>
      <c r="F28" s="26"/>
      <c r="G28" s="216">
        <f t="shared" si="0"/>
        <v>46</v>
      </c>
      <c r="H28" s="27">
        <f>IF('E-Gilts'!A28&lt;'Adj-Gilts'!$B$10,'E-Gilts'!I28," ")</f>
        <v>24.8042200749823</v>
      </c>
      <c r="I28" s="217">
        <f>IF('E-Gilts'!A28&lt;'Adj-Gilts'!$B$10,'E-Gilts'!A28," ")</f>
        <v>46</v>
      </c>
      <c r="J28" s="25">
        <f>IF('E-Gilts'!A28&lt;'Adj-Gilts'!$B$10,'E-Gilts'!J28," ")</f>
        <v>795.35656245274208</v>
      </c>
      <c r="K28" s="27">
        <f>IF('E-Gilts'!A28&lt;'Adj-Gilts'!$B$10,'E-Gilts'!N28," ")</f>
        <v>25.231539051922731</v>
      </c>
      <c r="L28" s="115">
        <f>IF('E-Gilts'!A28&lt;'Adj-Gilts'!$B$10,'E-Gilts'!K28," ")</f>
        <v>0.45544887067637357</v>
      </c>
      <c r="M28">
        <f>IF('E-Gilts'!A28&lt;'Adj-Gilts'!$B$10,'E-Gilts'!M28," ")</f>
        <v>1.7463136120451495</v>
      </c>
      <c r="N28" s="29">
        <f>IF('E-Gilts'!A28&lt;'Adj-Gilts'!$B$10,1/L28," ")</f>
        <v>2.1956361391673442</v>
      </c>
      <c r="O28" s="19"/>
      <c r="P28" s="30">
        <f t="shared" si="1"/>
        <v>1.7534610700191937</v>
      </c>
      <c r="Q28" s="30">
        <f t="shared" si="2"/>
        <v>3.8499624939571833</v>
      </c>
      <c r="R28" s="30">
        <f t="shared" si="3"/>
        <v>54.683944694621516</v>
      </c>
    </row>
    <row r="29" spans="1:18" x14ac:dyDescent="0.25">
      <c r="A29" s="27">
        <f>IF('E-Gilts'!A29&lt;'Adj-Gilts'!$B$10,'E-Gilts'!B29," ")</f>
        <v>14.763778016039764</v>
      </c>
      <c r="B29" s="25">
        <f>IF('E-Gilts'!A29&lt;'Adj-Gilts'!$B$10,'E-Gilts'!A29," ")</f>
        <v>47</v>
      </c>
      <c r="C29" s="25">
        <f>IF('E-Gilts'!A29&lt;'Adj-Gilts'!$B$10,'E-Gilts'!C29," ")</f>
        <v>517.3846841735035</v>
      </c>
      <c r="D29" s="27">
        <f>IF('E-Gilts'!A29&lt;'Adj-Gilts'!$B$10,'E-Gilts'!G29," ")</f>
        <v>10.785385295380879</v>
      </c>
      <c r="E29" s="26">
        <f>IF('E-Gilts'!A29&lt;'Adj-Gilts'!$B$10,'E-Gilts'!D29," ")</f>
        <v>0.71737667297405072</v>
      </c>
      <c r="F29" s="26"/>
      <c r="G29" s="216">
        <f t="shared" si="0"/>
        <v>47</v>
      </c>
      <c r="H29" s="27">
        <f>IF('E-Gilts'!A29&lt;'Adj-Gilts'!$B$10,'E-Gilts'!I29," ")</f>
        <v>25.617386004968001</v>
      </c>
      <c r="I29" s="217">
        <f>IF('E-Gilts'!A29&lt;'Adj-Gilts'!$B$10,'E-Gilts'!A29," ")</f>
        <v>47</v>
      </c>
      <c r="J29" s="25">
        <f>IF('E-Gilts'!A29&lt;'Adj-Gilts'!$B$10,'E-Gilts'!J29," ")</f>
        <v>813.16592998570059</v>
      </c>
      <c r="K29" s="27">
        <f>IF('E-Gilts'!A29&lt;'Adj-Gilts'!$B$10,'E-Gilts'!N29," ")</f>
        <v>27.039679641168924</v>
      </c>
      <c r="L29" s="115">
        <f>IF('E-Gilts'!A29&lt;'Adj-Gilts'!$B$10,'E-Gilts'!K29," ")</f>
        <v>0.44972494662304274</v>
      </c>
      <c r="M29">
        <f>IF('E-Gilts'!A29&lt;'Adj-Gilts'!$B$10,'E-Gilts'!M29," ")</f>
        <v>1.8081405892461917</v>
      </c>
      <c r="N29" s="29">
        <f>IF('E-Gilts'!A29&lt;'Adj-Gilts'!$B$10,1/L29," ")</f>
        <v>2.2235813412374368</v>
      </c>
      <c r="O29" s="19"/>
      <c r="P29" s="30">
        <f t="shared" si="1"/>
        <v>1.7927240045631732</v>
      </c>
      <c r="Q29" s="30">
        <f t="shared" si="2"/>
        <v>3.9862676465351292</v>
      </c>
      <c r="R29" s="30">
        <f t="shared" si="3"/>
        <v>56.476668699184692</v>
      </c>
    </row>
    <row r="30" spans="1:18" x14ac:dyDescent="0.25">
      <c r="A30" s="27">
        <f>IF('E-Gilts'!A30&lt;'Adj-Gilts'!$B$10,'E-Gilts'!B30," ")</f>
        <v>15.292747811132516</v>
      </c>
      <c r="B30" s="25">
        <f>IF('E-Gilts'!A30&lt;'Adj-Gilts'!$B$10,'E-Gilts'!A30," ")</f>
        <v>48</v>
      </c>
      <c r="C30" s="25">
        <f>IF('E-Gilts'!A30&lt;'Adj-Gilts'!$B$10,'E-Gilts'!C30," ")</f>
        <v>528.96979509275252</v>
      </c>
      <c r="D30" s="27">
        <f>IF('E-Gilts'!A30&lt;'Adj-Gilts'!$B$10,'E-Gilts'!G30," ")</f>
        <v>11.531263980396515</v>
      </c>
      <c r="E30" s="26">
        <f>IF('E-Gilts'!A30&lt;'Adj-Gilts'!$B$10,'E-Gilts'!D30," ")</f>
        <v>0.709190121288508</v>
      </c>
      <c r="F30" s="26"/>
      <c r="G30" s="216">
        <f t="shared" si="0"/>
        <v>48</v>
      </c>
      <c r="H30" s="27">
        <f>IF('E-Gilts'!A30&lt;'Adj-Gilts'!$B$10,'E-Gilts'!I30," ")</f>
        <v>26.448760084098449</v>
      </c>
      <c r="I30" s="217">
        <f>IF('E-Gilts'!A30&lt;'Adj-Gilts'!$B$10,'E-Gilts'!A30," ")</f>
        <v>48</v>
      </c>
      <c r="J30" s="25">
        <f>IF('E-Gilts'!A30&lt;'Adj-Gilts'!$B$10,'E-Gilts'!J30," ")</f>
        <v>831.37407913044694</v>
      </c>
      <c r="K30" s="27">
        <f>IF('E-Gilts'!A30&lt;'Adj-Gilts'!$B$10,'E-Gilts'!N30," ")</f>
        <v>28.909647207616157</v>
      </c>
      <c r="L30" s="115">
        <f>IF('E-Gilts'!A30&lt;'Adj-Gilts'!$B$10,'E-Gilts'!K30," ")</f>
        <v>0.44459278013574371</v>
      </c>
      <c r="M30">
        <f>IF('E-Gilts'!A30&lt;'Adj-Gilts'!$B$10,'E-Gilts'!M30," ")</f>
        <v>1.8699675664472342</v>
      </c>
      <c r="N30" s="29">
        <f>IF('E-Gilts'!A30&lt;'Adj-Gilts'!$B$10,1/L30," ")</f>
        <v>2.2492493011125338</v>
      </c>
      <c r="O30" s="19"/>
      <c r="P30" s="30">
        <f t="shared" si="1"/>
        <v>1.8328661020696775</v>
      </c>
      <c r="Q30" s="30">
        <f t="shared" si="2"/>
        <v>4.1225727991130761</v>
      </c>
      <c r="R30" s="30">
        <f t="shared" si="3"/>
        <v>58.309534801254372</v>
      </c>
    </row>
    <row r="31" spans="1:18" x14ac:dyDescent="0.25">
      <c r="A31" s="27">
        <f>IF('E-Gilts'!A31&lt;'Adj-Gilts'!$B$10,'E-Gilts'!B31," ")</f>
        <v>15.833562127210406</v>
      </c>
      <c r="B31" s="25">
        <f>IF('E-Gilts'!A31&lt;'Adj-Gilts'!$B$10,'E-Gilts'!A31," ")</f>
        <v>49</v>
      </c>
      <c r="C31" s="25">
        <f>IF('E-Gilts'!A31&lt;'Adj-Gilts'!$B$10,'E-Gilts'!C31," ")</f>
        <v>540.81431607789023</v>
      </c>
      <c r="D31" s="27">
        <f>IF('E-Gilts'!A31&lt;'Adj-Gilts'!$B$10,'E-Gilts'!G31," ")</f>
        <v>12.301803747925376</v>
      </c>
      <c r="E31" s="26">
        <f>IF('E-Gilts'!A31&lt;'Adj-Gilts'!$B$10,'E-Gilts'!D31," ")</f>
        <v>0.70186425005979203</v>
      </c>
      <c r="F31" s="26"/>
      <c r="G31" s="216">
        <f t="shared" si="0"/>
        <v>49</v>
      </c>
      <c r="H31" s="27">
        <f>IF('E-Gilts'!A31&lt;'Adj-Gilts'!$B$10,'E-Gilts'!I31," ")</f>
        <v>27.298750023374623</v>
      </c>
      <c r="I31" s="217">
        <f>IF('E-Gilts'!A31&lt;'Adj-Gilts'!$B$10,'E-Gilts'!A31," ")</f>
        <v>49</v>
      </c>
      <c r="J31" s="25">
        <f>IF('E-Gilts'!A31&lt;'Adj-Gilts'!$B$10,'E-Gilts'!J31," ")</f>
        <v>849.98993927617312</v>
      </c>
      <c r="K31" s="27">
        <f>IF('E-Gilts'!A31&lt;'Adj-Gilts'!$B$10,'E-Gilts'!N31," ")</f>
        <v>30.841441751264437</v>
      </c>
      <c r="L31" s="115">
        <f>IF('E-Gilts'!A31&lt;'Adj-Gilts'!$B$10,'E-Gilts'!K31," ")</f>
        <v>0.44000017603887093</v>
      </c>
      <c r="M31">
        <f>IF('E-Gilts'!A31&lt;'Adj-Gilts'!$B$10,'E-Gilts'!M31," ")</f>
        <v>1.9317945436482793</v>
      </c>
      <c r="N31" s="29">
        <f>IF('E-Gilts'!A31&lt;'Adj-Gilts'!$B$10,1/L31," ")</f>
        <v>2.272726363435948</v>
      </c>
      <c r="O31" s="19"/>
      <c r="P31" s="30">
        <f t="shared" si="1"/>
        <v>1.8739070484721185</v>
      </c>
      <c r="Q31" s="30">
        <f t="shared" si="2"/>
        <v>4.2588779516910282</v>
      </c>
      <c r="R31" s="30">
        <f t="shared" si="3"/>
        <v>60.183441849726485</v>
      </c>
    </row>
    <row r="32" spans="1:18" x14ac:dyDescent="0.25">
      <c r="A32" s="27">
        <f>IF('E-Gilts'!A32&lt;'Adj-Gilts'!$B$10,'E-Gilts'!B32," ")</f>
        <v>16.386486182965825</v>
      </c>
      <c r="B32" s="25">
        <f>IF('E-Gilts'!A32&lt;'Adj-Gilts'!$B$10,'E-Gilts'!A32," ")</f>
        <v>50</v>
      </c>
      <c r="C32" s="25">
        <f>IF('E-Gilts'!A32&lt;'Adj-Gilts'!$B$10,'E-Gilts'!C32," ")</f>
        <v>552.92405575541898</v>
      </c>
      <c r="D32" s="27">
        <f>IF('E-Gilts'!A32&lt;'Adj-Gilts'!$B$10,'E-Gilts'!G32," ")</f>
        <v>13.097004597967462</v>
      </c>
      <c r="E32" s="26">
        <f>IF('E-Gilts'!A32&lt;'Adj-Gilts'!$B$10,'E-Gilts'!D32," ")</f>
        <v>0.69532628860514312</v>
      </c>
      <c r="F32" s="26"/>
      <c r="G32" s="216">
        <f t="shared" si="0"/>
        <v>50</v>
      </c>
      <c r="H32" s="27">
        <f>IF('E-Gilts'!A32&lt;'Adj-Gilts'!$B$10,'E-Gilts'!I32," ")</f>
        <v>28.167772663130698</v>
      </c>
      <c r="I32" s="217">
        <f>IF('E-Gilts'!A32&lt;'Adj-Gilts'!$B$10,'E-Gilts'!A32," ")</f>
        <v>50</v>
      </c>
      <c r="J32" s="25">
        <f>IF('E-Gilts'!A32&lt;'Adj-Gilts'!$B$10,'E-Gilts'!J32," ")</f>
        <v>869.022639756074</v>
      </c>
      <c r="K32" s="27">
        <f>IF('E-Gilts'!A32&lt;'Adj-Gilts'!$B$10,'E-Gilts'!N32," ")</f>
        <v>32.835063272113764</v>
      </c>
      <c r="L32" s="115">
        <f>IF('E-Gilts'!A32&lt;'Adj-Gilts'!$B$10,'E-Gilts'!K32," ")</f>
        <v>0.43590151423819395</v>
      </c>
      <c r="M32">
        <f>IF('E-Gilts'!A32&lt;'Adj-Gilts'!$B$10,'E-Gilts'!M32," ")</f>
        <v>1.9936215208493298</v>
      </c>
      <c r="N32" s="29">
        <f>IF('E-Gilts'!A32&lt;'Adj-Gilts'!$B$10,1/L32," ")</f>
        <v>2.2940961830510185</v>
      </c>
      <c r="O32" s="19"/>
      <c r="P32" s="30">
        <f t="shared" si="1"/>
        <v>1.91586697050498</v>
      </c>
      <c r="Q32" s="30">
        <f t="shared" si="2"/>
        <v>4.3951831042689928</v>
      </c>
      <c r="R32" s="30">
        <f t="shared" si="3"/>
        <v>62.099308820231471</v>
      </c>
    </row>
    <row r="33" spans="1:18" x14ac:dyDescent="0.25">
      <c r="A33" s="27">
        <f>IF('E-Gilts'!A33&lt;'Adj-Gilts'!$B$10,'E-Gilts'!B33," ")</f>
        <v>16.951791135782546</v>
      </c>
      <c r="B33" s="25">
        <f>IF('E-Gilts'!A33&lt;'Adj-Gilts'!$B$10,'E-Gilts'!A33," ")</f>
        <v>51</v>
      </c>
      <c r="C33" s="25">
        <f>IF('E-Gilts'!A33&lt;'Adj-Gilts'!$B$10,'E-Gilts'!C33," ")</f>
        <v>565.30495281672086</v>
      </c>
      <c r="D33" s="27">
        <f>IF('E-Gilts'!A33&lt;'Adj-Gilts'!$B$10,'E-Gilts'!G33," ")</f>
        <v>13.916866530522769</v>
      </c>
      <c r="E33" s="26">
        <f>IF('E-Gilts'!A33&lt;'Adj-Gilts'!$B$10,'E-Gilts'!D33," ")</f>
        <v>0.68951238052339492</v>
      </c>
      <c r="F33" s="26"/>
      <c r="G33" s="216">
        <f t="shared" si="0"/>
        <v>51</v>
      </c>
      <c r="H33" s="27">
        <f>IF('E-Gilts'!A33&lt;'Adj-Gilts'!$B$10,'E-Gilts'!I33," ")</f>
        <v>29.056254177455109</v>
      </c>
      <c r="I33" s="217">
        <f>IF('E-Gilts'!A33&lt;'Adj-Gilts'!$B$10,'E-Gilts'!A33," ")</f>
        <v>51</v>
      </c>
      <c r="J33" s="25">
        <f>IF('E-Gilts'!A33&lt;'Adj-Gilts'!$B$10,'E-Gilts'!J33," ")</f>
        <v>888.4815143244108</v>
      </c>
      <c r="K33" s="27">
        <f>IF('E-Gilts'!A33&lt;'Adj-Gilts'!$B$10,'E-Gilts'!N33," ")</f>
        <v>34.890511770164132</v>
      </c>
      <c r="L33" s="115">
        <f>IF('E-Gilts'!A33&lt;'Adj-Gilts'!$B$10,'E-Gilts'!K33," ")</f>
        <v>0.43225676302138089</v>
      </c>
      <c r="M33">
        <f>IF('E-Gilts'!A33&lt;'Adj-Gilts'!$B$10,'E-Gilts'!M33," ")</f>
        <v>2.0554484980503669</v>
      </c>
      <c r="N33" s="29">
        <f>IF('E-Gilts'!A33&lt;'Adj-Gilts'!$B$10,1/L33," ")</f>
        <v>2.3134398014046496</v>
      </c>
      <c r="O33" s="19"/>
      <c r="P33" s="30">
        <f t="shared" si="1"/>
        <v>1.9587664455740532</v>
      </c>
      <c r="Q33" s="30">
        <f t="shared" si="2"/>
        <v>4.5314882568469281</v>
      </c>
      <c r="R33" s="30">
        <f t="shared" si="3"/>
        <v>64.058075265805527</v>
      </c>
    </row>
    <row r="34" spans="1:18" x14ac:dyDescent="0.25">
      <c r="A34" s="27">
        <f>IF('E-Gilts'!A34&lt;'Adj-Gilts'!$B$10,'E-Gilts'!B34," ")</f>
        <v>17.529754214713005</v>
      </c>
      <c r="B34" s="25">
        <f>IF('E-Gilts'!A34&lt;'Adj-Gilts'!$B$10,'E-Gilts'!A34," ")</f>
        <v>52</v>
      </c>
      <c r="C34" s="25">
        <f>IF('E-Gilts'!A34&lt;'Adj-Gilts'!$B$10,'E-Gilts'!C34," ")</f>
        <v>577.96307893045901</v>
      </c>
      <c r="D34" s="27">
        <f>IF('E-Gilts'!A34&lt;'Adj-Gilts'!$B$10,'E-Gilts'!G34," ")</f>
        <v>14.7613895455913</v>
      </c>
      <c r="E34" s="26">
        <f>IF('E-Gilts'!A34&lt;'Adj-Gilts'!$B$10,'E-Gilts'!D34," ")</f>
        <v>0.68436628560508661</v>
      </c>
      <c r="F34" s="26"/>
      <c r="G34" s="216">
        <f t="shared" si="0"/>
        <v>52</v>
      </c>
      <c r="H34" s="27">
        <f>IF('E-Gilts'!A34&lt;'Adj-Gilts'!$B$10,'E-Gilts'!I34," ")</f>
        <v>29.964630283188999</v>
      </c>
      <c r="I34" s="217">
        <f>IF('E-Gilts'!A34&lt;'Adj-Gilts'!$B$10,'E-Gilts'!A34," ")</f>
        <v>52</v>
      </c>
      <c r="J34" s="25">
        <f>IF('E-Gilts'!A34&lt;'Adj-Gilts'!$B$10,'E-Gilts'!J34," ")</f>
        <v>908.37610573388974</v>
      </c>
      <c r="K34" s="27">
        <f>IF('E-Gilts'!A34&lt;'Adj-Gilts'!$B$10,'E-Gilts'!N34," ")</f>
        <v>37.007787245415543</v>
      </c>
      <c r="L34" s="115">
        <f>IF('E-Gilts'!A34&lt;'Adj-Gilts'!$B$10,'E-Gilts'!K34," ")</f>
        <v>0.42903066528271488</v>
      </c>
      <c r="M34">
        <f>IF('E-Gilts'!A34&lt;'Adj-Gilts'!$B$10,'E-Gilts'!M34," ")</f>
        <v>2.1172754752514122</v>
      </c>
      <c r="N34" s="29">
        <f>IF('E-Gilts'!A34&lt;'Adj-Gilts'!$B$10,1/L34," ")</f>
        <v>2.3308357208943051</v>
      </c>
      <c r="O34" s="19"/>
      <c r="P34" s="30">
        <f t="shared" si="1"/>
        <v>2.0026265118478288</v>
      </c>
      <c r="Q34" s="30">
        <f t="shared" si="2"/>
        <v>4.6677934094248812</v>
      </c>
      <c r="R34" s="30">
        <f t="shared" si="3"/>
        <v>66.060701777653364</v>
      </c>
    </row>
    <row r="35" spans="1:18" x14ac:dyDescent="0.25">
      <c r="A35" s="27">
        <f>IF('E-Gilts'!A35&lt;'Adj-Gilts'!$B$10,'E-Gilts'!B35," ")</f>
        <v>18.120658856433128</v>
      </c>
      <c r="B35" s="25">
        <f>IF('E-Gilts'!A35&lt;'Adj-Gilts'!$B$10,'E-Gilts'!A35," ")</f>
        <v>53</v>
      </c>
      <c r="C35" s="25">
        <f>IF('E-Gilts'!A35&lt;'Adj-Gilts'!$B$10,'E-Gilts'!C35," ")</f>
        <v>590.90464172012253</v>
      </c>
      <c r="D35" s="27">
        <f>IF('E-Gilts'!A35&lt;'Adj-Gilts'!$B$10,'E-Gilts'!G35," ")</f>
        <v>15.63057364317306</v>
      </c>
      <c r="E35" s="26">
        <f>IF('E-Gilts'!A35&lt;'Adj-Gilts'!$B$10,'E-Gilts'!D35," ")</f>
        <v>0.67983830279929724</v>
      </c>
      <c r="F35" s="26"/>
      <c r="G35" s="216">
        <f t="shared" si="0"/>
        <v>53</v>
      </c>
      <c r="H35" s="27">
        <f>IF('E-Gilts'!A35&lt;'Adj-Gilts'!$B$10,'E-Gilts'!I35," ")</f>
        <v>30.893346453604426</v>
      </c>
      <c r="I35" s="217">
        <f>IF('E-Gilts'!A35&lt;'Adj-Gilts'!$B$10,'E-Gilts'!A35," ")</f>
        <v>53</v>
      </c>
      <c r="J35" s="25">
        <f>IF('E-Gilts'!A35&lt;'Adj-Gilts'!$B$10,'E-Gilts'!J35," ")</f>
        <v>928.71617041542561</v>
      </c>
      <c r="K35" s="27">
        <f>IF('E-Gilts'!A35&lt;'Adj-Gilts'!$B$10,'E-Gilts'!N35," ")</f>
        <v>39.186889697868011</v>
      </c>
      <c r="L35" s="115">
        <f>IF('E-Gilts'!A35&lt;'Adj-Gilts'!$B$10,'E-Gilts'!K35," ")</f>
        <v>0.4261920633287351</v>
      </c>
      <c r="M35">
        <f>IF('E-Gilts'!A35&lt;'Adj-Gilts'!$B$10,'E-Gilts'!M35," ")</f>
        <v>2.1791024524524714</v>
      </c>
      <c r="N35" s="29">
        <f>IF('E-Gilts'!A35&lt;'Adj-Gilts'!$B$10,1/L35," ")</f>
        <v>2.3463599772121264</v>
      </c>
      <c r="O35" s="19"/>
      <c r="P35" s="30">
        <f t="shared" si="1"/>
        <v>2.0474686785746101</v>
      </c>
      <c r="Q35" s="30">
        <f t="shared" si="2"/>
        <v>4.8040985620028653</v>
      </c>
      <c r="R35" s="30">
        <f t="shared" si="3"/>
        <v>68.108170456227967</v>
      </c>
    </row>
    <row r="36" spans="1:18" x14ac:dyDescent="0.25">
      <c r="A36" s="27">
        <f>IF('E-Gilts'!A36&lt;'Adj-Gilts'!$B$10,'E-Gilts'!B36," ")</f>
        <v>18.724794844241433</v>
      </c>
      <c r="B36" s="25">
        <f>IF('E-Gilts'!A36&lt;'Adj-Gilts'!$B$10,'E-Gilts'!A36," ")</f>
        <v>54</v>
      </c>
      <c r="C36" s="25">
        <f>IF('E-Gilts'!A36&lt;'Adj-Gilts'!$B$10,'E-Gilts'!C36," ")</f>
        <v>604.13598780830569</v>
      </c>
      <c r="D36" s="27">
        <f>IF('E-Gilts'!A36&lt;'Adj-Gilts'!$B$10,'E-Gilts'!G36," ")</f>
        <v>16.524418823268036</v>
      </c>
      <c r="E36" s="26">
        <f>IF('E-Gilts'!A36&lt;'Adj-Gilts'!$B$10,'E-Gilts'!D36," ")</f>
        <v>0.67588437154643721</v>
      </c>
      <c r="F36" s="26"/>
      <c r="G36" s="216">
        <f t="shared" si="0"/>
        <v>54</v>
      </c>
      <c r="H36" s="27">
        <f>IF('E-Gilts'!A36&lt;'Adj-Gilts'!$B$10,'E-Gilts'!I36," ")</f>
        <v>31.842858136867218</v>
      </c>
      <c r="I36" s="217">
        <f>IF('E-Gilts'!A36&lt;'Adj-Gilts'!$B$10,'E-Gilts'!A36," ")</f>
        <v>54</v>
      </c>
      <c r="J36" s="25">
        <f>IF('E-Gilts'!A36&lt;'Adj-Gilts'!$B$10,'E-Gilts'!J36," ")</f>
        <v>949.51168326279094</v>
      </c>
      <c r="K36" s="27">
        <f>IF('E-Gilts'!A36&lt;'Adj-Gilts'!$B$10,'E-Gilts'!N36," ")</f>
        <v>41.427819127521509</v>
      </c>
      <c r="L36" s="115">
        <f>IF('E-Gilts'!A36&lt;'Adj-Gilts'!$B$10,'E-Gilts'!K36," ")</f>
        <v>0.4237133355018714</v>
      </c>
      <c r="M36">
        <f>IF('E-Gilts'!A36&lt;'Adj-Gilts'!$B$10,'E-Gilts'!M36," ")</f>
        <v>2.2409294296535003</v>
      </c>
      <c r="N36" s="29">
        <f>IF('E-Gilts'!A36&lt;'Adj-Gilts'!$B$10,1/L36," ")</f>
        <v>2.3600862097378648</v>
      </c>
      <c r="O36" s="19"/>
      <c r="P36" s="30">
        <f t="shared" si="1"/>
        <v>2.0933149366308585</v>
      </c>
      <c r="Q36" s="30">
        <f t="shared" si="2"/>
        <v>4.9404037145807811</v>
      </c>
      <c r="R36" s="30">
        <f t="shared" si="3"/>
        <v>70.201485392858828</v>
      </c>
    </row>
    <row r="37" spans="1:18" x14ac:dyDescent="0.25">
      <c r="A37" s="27">
        <f>IF('E-Gilts'!A37&lt;'Adj-Gilts'!$B$10,'E-Gilts'!B37," ")</f>
        <v>19.342458450170579</v>
      </c>
      <c r="B37" s="25">
        <f>IF('E-Gilts'!A37&lt;'Adj-Gilts'!$B$10,'E-Gilts'!A37," ")</f>
        <v>55</v>
      </c>
      <c r="C37" s="25">
        <f>IF('E-Gilts'!A37&lt;'Adj-Gilts'!$B$10,'E-Gilts'!C37," ")</f>
        <v>617.66360592914543</v>
      </c>
      <c r="D37" s="27">
        <f>IF('E-Gilts'!A37&lt;'Adj-Gilts'!$B$10,'E-Gilts'!G37," ")</f>
        <v>17.445069527833908</v>
      </c>
      <c r="E37" s="26">
        <f>IF('E-Gilts'!A37&lt;'Adj-Gilts'!$B$10,'E-Gilts'!D37," ")</f>
        <v>0.67089896620499545</v>
      </c>
      <c r="F37" s="26"/>
      <c r="G37" s="216">
        <f t="shared" si="0"/>
        <v>55</v>
      </c>
      <c r="H37" s="27">
        <f>IF('E-Gilts'!A37&lt;'Adj-Gilts'!$B$10,'E-Gilts'!I37," ")</f>
        <v>32.813630979391604</v>
      </c>
      <c r="I37" s="217">
        <f>IF('E-Gilts'!A37&lt;'Adj-Gilts'!$B$10,'E-Gilts'!A37," ")</f>
        <v>55</v>
      </c>
      <c r="J37" s="25">
        <f>IF('E-Gilts'!A37&lt;'Adj-Gilts'!$B$10,'E-Gilts'!J37," ")</f>
        <v>970.77284252438824</v>
      </c>
      <c r="K37" s="27">
        <f>IF('E-Gilts'!A37&lt;'Adj-Gilts'!$B$10,'E-Gilts'!N37," ")</f>
        <v>43.735951793263105</v>
      </c>
      <c r="L37" s="115">
        <f>IF('E-Gilts'!A37&lt;'Adj-Gilts'!$B$10,'E-Gilts'!K37," ")</f>
        <v>0.42058797439725237</v>
      </c>
      <c r="M37">
        <f>IF('E-Gilts'!A37&lt;'Adj-Gilts'!$B$10,'E-Gilts'!M37," ")</f>
        <v>2.3081326657415961</v>
      </c>
      <c r="N37" s="29">
        <f>IF('E-Gilts'!A37&lt;'Adj-Gilts'!$B$10,1/L37," ")</f>
        <v>2.3776238524962752</v>
      </c>
      <c r="O37" s="19"/>
      <c r="P37" s="30">
        <f t="shared" si="1"/>
        <v>2.1401877693057054</v>
      </c>
      <c r="Q37" s="30">
        <f t="shared" si="2"/>
        <v>5.0885614891220419</v>
      </c>
      <c r="R37" s="30">
        <f t="shared" si="3"/>
        <v>72.341673162164525</v>
      </c>
    </row>
    <row r="38" spans="1:18" x14ac:dyDescent="0.25">
      <c r="A38" s="27">
        <f>IF('E-Gilts'!A38&lt;'Adj-Gilts'!$B$10,'E-Gilts'!B38," ")</f>
        <v>19.973952580280983</v>
      </c>
      <c r="B38" s="25">
        <f>IF('E-Gilts'!A38&lt;'Adj-Gilts'!$B$10,'E-Gilts'!A38," ")</f>
        <v>56</v>
      </c>
      <c r="C38" s="25">
        <f>IF('E-Gilts'!A38&lt;'Adj-Gilts'!$B$10,'E-Gilts'!C38," ")</f>
        <v>631.49413011040429</v>
      </c>
      <c r="D38" s="27">
        <f>IF('E-Gilts'!A38&lt;'Adj-Gilts'!$B$10,'E-Gilts'!G38," ")</f>
        <v>18.392525756870679</v>
      </c>
      <c r="E38" s="26">
        <f>IF('E-Gilts'!A38&lt;'Adj-Gilts'!$B$10,'E-Gilts'!D38," ")</f>
        <v>0.66651536055909522</v>
      </c>
      <c r="F38" s="26"/>
      <c r="G38" s="216">
        <f t="shared" si="0"/>
        <v>56</v>
      </c>
      <c r="H38" s="27">
        <f>IF('E-Gilts'!A38&lt;'Adj-Gilts'!$B$10,'E-Gilts'!I38," ")</f>
        <v>33.80614105419609</v>
      </c>
      <c r="I38" s="217">
        <f>IF('E-Gilts'!A38&lt;'Adj-Gilts'!$B$10,'E-Gilts'!A38," ")</f>
        <v>56</v>
      </c>
      <c r="J38" s="25">
        <f>IF('E-Gilts'!A38&lt;'Adj-Gilts'!$B$10,'E-Gilts'!J38," ")</f>
        <v>992.51007480448322</v>
      </c>
      <c r="K38" s="27">
        <f>IF('E-Gilts'!A38&lt;'Adj-Gilts'!$B$10,'E-Gilts'!N38," ")</f>
        <v>46.111287695092798</v>
      </c>
      <c r="L38" s="115">
        <f>IF('E-Gilts'!A38&lt;'Adj-Gilts'!$B$10,'E-Gilts'!K38," ")</f>
        <v>0.41783988278877282</v>
      </c>
      <c r="M38">
        <f>IF('E-Gilts'!A38&lt;'Adj-Gilts'!$B$10,'E-Gilts'!M38," ")</f>
        <v>2.3753359018296938</v>
      </c>
      <c r="N38" s="29">
        <f>IF('E-Gilts'!A38&lt;'Adj-Gilts'!$B$10,1/L38," ")</f>
        <v>2.3932612495622441</v>
      </c>
      <c r="O38" s="19"/>
      <c r="P38" s="30">
        <f t="shared" si="1"/>
        <v>2.1881101633267845</v>
      </c>
      <c r="Q38" s="30">
        <f t="shared" si="2"/>
        <v>5.2367192636633053</v>
      </c>
      <c r="R38" s="30">
        <f t="shared" si="3"/>
        <v>74.529783325491323</v>
      </c>
    </row>
    <row r="39" spans="1:18" x14ac:dyDescent="0.25">
      <c r="A39" s="27">
        <f>IF('E-Gilts'!A39&lt;'Adj-Gilts'!$B$10,'E-Gilts'!B39," ")</f>
        <v>20.61958692320783</v>
      </c>
      <c r="B39" s="25">
        <f>IF('E-Gilts'!A39&lt;'Adj-Gilts'!$B$10,'E-Gilts'!A39," ")</f>
        <v>57</v>
      </c>
      <c r="C39" s="25">
        <f>IF('E-Gilts'!A39&lt;'Adj-Gilts'!$B$10,'E-Gilts'!C39," ")</f>
        <v>645.63434292684724</v>
      </c>
      <c r="D39" s="27">
        <f>IF('E-Gilts'!A39&lt;'Adj-Gilts'!$B$10,'E-Gilts'!G39," ")</f>
        <v>19.372148615272522</v>
      </c>
      <c r="E39" s="26">
        <f>IF('E-Gilts'!A39&lt;'Adj-Gilts'!$B$10,'E-Gilts'!D39," ")</f>
        <v>0.6590641871915226</v>
      </c>
      <c r="F39" s="26"/>
      <c r="G39" s="216">
        <f t="shared" si="0"/>
        <v>57</v>
      </c>
      <c r="H39" s="27">
        <f>IF('E-Gilts'!A39&lt;'Adj-Gilts'!$B$10,'E-Gilts'!I39," ")</f>
        <v>34.820875094372582</v>
      </c>
      <c r="I39" s="217">
        <f>IF('E-Gilts'!A39&lt;'Adj-Gilts'!$B$10,'E-Gilts'!A39," ")</f>
        <v>57</v>
      </c>
      <c r="J39" s="25">
        <f>IF('E-Gilts'!A39&lt;'Adj-Gilts'!$B$10,'E-Gilts'!J39," ")</f>
        <v>1014.73404017649</v>
      </c>
      <c r="K39" s="27">
        <f>IF('E-Gilts'!A39&lt;'Adj-Gilts'!$B$10,'E-Gilts'!N39," ")</f>
        <v>48.567267480228196</v>
      </c>
      <c r="L39" s="115">
        <f>IF('E-Gilts'!A39&lt;'Adj-Gilts'!$B$10,'E-Gilts'!K39," ")</f>
        <v>0.41316872651724484</v>
      </c>
      <c r="M39">
        <f>IF('E-Gilts'!A39&lt;'Adj-Gilts'!$B$10,'E-Gilts'!M39," ")</f>
        <v>2.4559797851354004</v>
      </c>
      <c r="N39" s="29">
        <f>IF('E-Gilts'!A39&lt;'Adj-Gilts'!$B$10,1/L39," ")</f>
        <v>2.4203187119929854</v>
      </c>
      <c r="O39" s="19"/>
      <c r="P39" s="30">
        <f t="shared" si="1"/>
        <v>2.2371056201330943</v>
      </c>
      <c r="Q39" s="30">
        <f t="shared" si="2"/>
        <v>5.4145085931127994</v>
      </c>
      <c r="R39" s="30">
        <f t="shared" si="3"/>
        <v>76.766888945624416</v>
      </c>
    </row>
    <row r="40" spans="1:18" x14ac:dyDescent="0.25">
      <c r="A40" s="27">
        <f>IF('E-Gilts'!A40&lt;'Adj-Gilts'!$B$10,'E-Gilts'!B40," ")</f>
        <v>21.279678102034328</v>
      </c>
      <c r="B40" s="25">
        <f>IF('E-Gilts'!A40&lt;'Adj-Gilts'!$B$10,'E-Gilts'!A40," ")</f>
        <v>58</v>
      </c>
      <c r="C40" s="25">
        <f>IF('E-Gilts'!A40&lt;'Adj-Gilts'!$B$10,'E-Gilts'!C40," ")</f>
        <v>660.09117882649798</v>
      </c>
      <c r="D40" s="27">
        <f>IF('E-Gilts'!A40&lt;'Adj-Gilts'!$B$10,'E-Gilts'!G40," ")</f>
        <v>20.383938103039441</v>
      </c>
      <c r="E40" s="26">
        <f>IF('E-Gilts'!A40&lt;'Adj-Gilts'!$B$10,'E-Gilts'!D40," ")</f>
        <v>0.65239972030482252</v>
      </c>
      <c r="F40" s="26"/>
      <c r="G40" s="216">
        <f t="shared" si="0"/>
        <v>58</v>
      </c>
      <c r="H40" s="27">
        <f>IF('E-Gilts'!A40&lt;'Adj-Gilts'!$B$10,'E-Gilts'!I40," ")</f>
        <v>35.858330731783383</v>
      </c>
      <c r="I40" s="217">
        <f>IF('E-Gilts'!A40&lt;'Adj-Gilts'!$B$10,'E-Gilts'!A40," ")</f>
        <v>58</v>
      </c>
      <c r="J40" s="25">
        <f>IF('E-Gilts'!A40&lt;'Adj-Gilts'!$B$10,'E-Gilts'!J40," ")</f>
        <v>1037.4556374107983</v>
      </c>
      <c r="K40" s="27">
        <f>IF('E-Gilts'!A40&lt;'Adj-Gilts'!$B$10,'E-Gilts'!N40," ")</f>
        <v>51.103891148669312</v>
      </c>
      <c r="L40" s="115">
        <f>IF('E-Gilts'!A40&lt;'Adj-Gilts'!$B$10,'E-Gilts'!K40," ")</f>
        <v>0.40899075819487557</v>
      </c>
      <c r="M40">
        <f>IF('E-Gilts'!A40&lt;'Adj-Gilts'!$B$10,'E-Gilts'!M40," ")</f>
        <v>2.5366236684411154</v>
      </c>
      <c r="N40" s="29">
        <f>IF('E-Gilts'!A40&lt;'Adj-Gilts'!$B$10,1/L40," ")</f>
        <v>2.4450430234991298</v>
      </c>
      <c r="O40" s="19"/>
      <c r="P40" s="30">
        <f t="shared" si="1"/>
        <v>2.287198167400387</v>
      </c>
      <c r="Q40" s="30">
        <f t="shared" si="2"/>
        <v>5.5922979225623113</v>
      </c>
      <c r="R40" s="30">
        <f t="shared" si="3"/>
        <v>79.054087113024806</v>
      </c>
    </row>
    <row r="41" spans="1:18" x14ac:dyDescent="0.25">
      <c r="A41" s="27">
        <f>IF('E-Gilts'!A41&lt;'Adj-Gilts'!$B$10,'E-Gilts'!B41," ")</f>
        <v>21.954549829565579</v>
      </c>
      <c r="B41" s="25">
        <f>IF('E-Gilts'!A41&lt;'Adj-Gilts'!$B$10,'E-Gilts'!A41," ")</f>
        <v>59</v>
      </c>
      <c r="C41" s="25">
        <f>IF('E-Gilts'!A41&lt;'Adj-Gilts'!$B$10,'E-Gilts'!C41," ")</f>
        <v>674.87172753125083</v>
      </c>
      <c r="D41" s="27">
        <f>IF('E-Gilts'!A41&lt;'Adj-Gilts'!$B$10,'E-Gilts'!G41," ")</f>
        <v>21.427894220171432</v>
      </c>
      <c r="E41" s="26">
        <f>IF('E-Gilts'!A41&lt;'Adj-Gilts'!$B$10,'E-Gilts'!D41," ")</f>
        <v>0.64645603053248279</v>
      </c>
      <c r="F41" s="26"/>
      <c r="G41" s="216">
        <f t="shared" si="0"/>
        <v>59</v>
      </c>
      <c r="H41" s="27">
        <f>IF('E-Gilts'!A41&lt;'Adj-Gilts'!$B$10,'E-Gilts'!I41," ")</f>
        <v>36.919016741102851</v>
      </c>
      <c r="I41" s="217">
        <f>IF('E-Gilts'!A41&lt;'Adj-Gilts'!$B$10,'E-Gilts'!A41," ")</f>
        <v>59</v>
      </c>
      <c r="J41" s="25">
        <f>IF('E-Gilts'!A41&lt;'Adj-Gilts'!$B$10,'E-Gilts'!J41," ")</f>
        <v>1060.6860093194664</v>
      </c>
      <c r="K41" s="27">
        <f>IF('E-Gilts'!A41&lt;'Adj-Gilts'!$B$10,'E-Gilts'!N41," ")</f>
        <v>53.721158700416133</v>
      </c>
      <c r="L41" s="115">
        <f>IF('E-Gilts'!A41&lt;'Adj-Gilts'!$B$10,'E-Gilts'!K41," ")</f>
        <v>0.4052646465629936</v>
      </c>
      <c r="M41">
        <f>IF('E-Gilts'!A41&lt;'Adj-Gilts'!$B$10,'E-Gilts'!M41," ")</f>
        <v>2.6172675517468194</v>
      </c>
      <c r="N41" s="29">
        <f>IF('E-Gilts'!A41&lt;'Adj-Gilts'!$B$10,1/L41," ")</f>
        <v>2.4675234034868172</v>
      </c>
      <c r="O41" s="19"/>
      <c r="P41" s="30">
        <f t="shared" si="1"/>
        <v>2.3384123708241971</v>
      </c>
      <c r="Q41" s="30">
        <f t="shared" si="2"/>
        <v>5.7700872520117992</v>
      </c>
      <c r="R41" s="30">
        <f t="shared" si="3"/>
        <v>81.392499483849008</v>
      </c>
    </row>
    <row r="42" spans="1:18" x14ac:dyDescent="0.25">
      <c r="A42" s="27">
        <f>IF('E-Gilts'!A42&lt;'Adj-Gilts'!$B$10,'E-Gilts'!B42," ")</f>
        <v>22.64414656550484</v>
      </c>
      <c r="B42" s="25">
        <f>IF('E-Gilts'!A42&lt;'Adj-Gilts'!$B$10,'E-Gilts'!A42," ")</f>
        <v>60</v>
      </c>
      <c r="C42" s="25">
        <f>IF('E-Gilts'!A42&lt;'Adj-Gilts'!$B$10,'E-Gilts'!C42," ")</f>
        <v>689.59673593926141</v>
      </c>
      <c r="D42" s="27">
        <f>IF('E-Gilts'!A42&lt;'Adj-Gilts'!$B$10,'E-Gilts'!G42," ")</f>
        <v>22.497583640795483</v>
      </c>
      <c r="E42" s="26">
        <f>IF('E-Gilts'!A42&lt;'Adj-Gilts'!$B$10,'E-Gilts'!D42," ")</f>
        <v>0.64467005342256645</v>
      </c>
      <c r="F42" s="26"/>
      <c r="G42" s="216">
        <f t="shared" si="0"/>
        <v>60</v>
      </c>
      <c r="H42" s="27">
        <f>IF('E-Gilts'!A42&lt;'Adj-Gilts'!$B$10,'E-Gilts'!I42," ")</f>
        <v>38.002845830460096</v>
      </c>
      <c r="I42" s="217">
        <f>IF('E-Gilts'!A42&lt;'Adj-Gilts'!$B$10,'E-Gilts'!A42," ")</f>
        <v>60</v>
      </c>
      <c r="J42" s="25">
        <f>IF('E-Gilts'!A42&lt;'Adj-Gilts'!$B$10,'E-Gilts'!J42," ")</f>
        <v>1083.829089357243</v>
      </c>
      <c r="K42" s="27">
        <f>IF('E-Gilts'!A42&lt;'Adj-Gilts'!$B$10,'E-Gilts'!N42," ")</f>
        <v>56.402941358807524</v>
      </c>
      <c r="L42" s="115">
        <f>IF('E-Gilts'!A42&lt;'Adj-Gilts'!$B$10,'E-Gilts'!K42," ")</f>
        <v>0.4041450137526636</v>
      </c>
      <c r="M42">
        <f>IF('E-Gilts'!A42&lt;'Adj-Gilts'!$B$10,'E-Gilts'!M42," ")</f>
        <v>2.68178265839139</v>
      </c>
      <c r="N42" s="29">
        <f>IF('E-Gilts'!A42&lt;'Adj-Gilts'!$B$10,1/L42," ")</f>
        <v>2.4743593659972731</v>
      </c>
      <c r="O42" s="19"/>
      <c r="P42" s="30">
        <f t="shared" si="1"/>
        <v>2.3894341286147363</v>
      </c>
      <c r="Q42" s="30">
        <f t="shared" si="2"/>
        <v>5.9123187155714056</v>
      </c>
      <c r="R42" s="30">
        <f t="shared" si="3"/>
        <v>83.781933612463746</v>
      </c>
    </row>
    <row r="43" spans="1:18" x14ac:dyDescent="0.25">
      <c r="A43" s="27">
        <f>IF('E-Gilts'!A43&lt;'Adj-Gilts'!$B$10,'E-Gilts'!B43," ")</f>
        <v>23.323743345108991</v>
      </c>
      <c r="B43" s="25">
        <f>IF('E-Gilts'!A43&lt;'Adj-Gilts'!$B$10,'E-Gilts'!A43," ")</f>
        <v>61</v>
      </c>
      <c r="C43" s="25">
        <f>IF('E-Gilts'!A43&lt;'Adj-Gilts'!$B$10,'E-Gilts'!C43," ")</f>
        <v>679.59677960415024</v>
      </c>
      <c r="D43" s="27">
        <f>IF('E-Gilts'!A43&lt;'Adj-Gilts'!$B$10,'E-Gilts'!G43," ")</f>
        <v>23.563643814637828</v>
      </c>
      <c r="E43" s="26">
        <f>IF('E-Gilts'!A43&lt;'Adj-Gilts'!$B$10,'E-Gilts'!D43," ")</f>
        <v>0.63748444626227441</v>
      </c>
      <c r="F43" s="26"/>
      <c r="G43" s="216">
        <f t="shared" si="0"/>
        <v>61</v>
      </c>
      <c r="H43" s="27">
        <f>IF('E-Gilts'!A43&lt;'Adj-Gilts'!$B$10,'E-Gilts'!I43," ")</f>
        <v>39.070958134914733</v>
      </c>
      <c r="I43" s="217">
        <f>IF('E-Gilts'!A43&lt;'Adj-Gilts'!$B$10,'E-Gilts'!A43," ")</f>
        <v>61</v>
      </c>
      <c r="J43" s="25">
        <f>IF('E-Gilts'!A43&lt;'Adj-Gilts'!$B$10,'E-Gilts'!J43," ")</f>
        <v>1068.1123044546382</v>
      </c>
      <c r="K43" s="27">
        <f>IF('E-Gilts'!A43&lt;'Adj-Gilts'!$B$10,'E-Gilts'!N43," ")</f>
        <v>59.075625253675078</v>
      </c>
      <c r="L43" s="115">
        <f>IF('E-Gilts'!A43&lt;'Adj-Gilts'!$B$10,'E-Gilts'!K43," ")</f>
        <v>0.39964034149559208</v>
      </c>
      <c r="M43">
        <f>IF('E-Gilts'!A43&lt;'Adj-Gilts'!$B$10,'E-Gilts'!M43," ")</f>
        <v>2.6726838948675531</v>
      </c>
      <c r="N43" s="29">
        <f>IF('E-Gilts'!A43&lt;'Adj-Gilts'!$B$10,1/L43," ")</f>
        <v>2.5022498886315003</v>
      </c>
      <c r="O43" s="19"/>
      <c r="P43" s="30">
        <f t="shared" si="1"/>
        <v>2.3547845490757222</v>
      </c>
      <c r="Q43" s="30">
        <f t="shared" si="2"/>
        <v>5.8922593756759021</v>
      </c>
      <c r="R43" s="30">
        <f t="shared" si="3"/>
        <v>86.136718161539477</v>
      </c>
    </row>
    <row r="44" spans="1:18" x14ac:dyDescent="0.25">
      <c r="A44" s="27">
        <f>IF('E-Gilts'!A44&lt;'Adj-Gilts'!$B$10,'E-Gilts'!B44," ")</f>
        <v>24.011941762012853</v>
      </c>
      <c r="B44" s="25">
        <f>IF('E-Gilts'!A44&lt;'Adj-Gilts'!$B$10,'E-Gilts'!A44," ")</f>
        <v>62</v>
      </c>
      <c r="C44" s="25">
        <f>IF('E-Gilts'!A44&lt;'Adj-Gilts'!$B$10,'E-Gilts'!C44," ")</f>
        <v>688.19841690386238</v>
      </c>
      <c r="D44" s="27">
        <f>IF('E-Gilts'!A44&lt;'Adj-Gilts'!$B$10,'E-Gilts'!G44," ")</f>
        <v>24.659259753909588</v>
      </c>
      <c r="E44" s="26">
        <f>IF('E-Gilts'!A44&lt;'Adj-Gilts'!$B$10,'E-Gilts'!D44," ")</f>
        <v>0.62813837608213263</v>
      </c>
      <c r="F44" s="26"/>
      <c r="G44" s="216">
        <f t="shared" si="0"/>
        <v>62</v>
      </c>
      <c r="H44" s="27">
        <f>IF('E-Gilts'!A44&lt;'Adj-Gilts'!$B$10,'E-Gilts'!I44," ")</f>
        <v>40.152589506725207</v>
      </c>
      <c r="I44" s="217">
        <f>IF('E-Gilts'!A44&lt;'Adj-Gilts'!$B$10,'E-Gilts'!A44," ")</f>
        <v>62</v>
      </c>
      <c r="J44" s="25">
        <f>IF('E-Gilts'!A44&lt;'Adj-Gilts'!$B$10,'E-Gilts'!J44," ")</f>
        <v>1081.6313718104755</v>
      </c>
      <c r="K44" s="27">
        <f>IF('E-Gilts'!A44&lt;'Adj-Gilts'!$B$10,'E-Gilts'!N44," ")</f>
        <v>61.822407421981524</v>
      </c>
      <c r="L44" s="115">
        <f>IF('E-Gilts'!A44&lt;'Adj-Gilts'!$B$10,'E-Gilts'!K44," ")</f>
        <v>0.39378127042282596</v>
      </c>
      <c r="M44">
        <f>IF('E-Gilts'!A44&lt;'Adj-Gilts'!$B$10,'E-Gilts'!M44," ")</f>
        <v>2.7467821683064426</v>
      </c>
      <c r="N44" s="29">
        <f>IF('E-Gilts'!A44&lt;'Adj-Gilts'!$B$10,1/L44," ")</f>
        <v>2.539480861865882</v>
      </c>
      <c r="O44" s="19"/>
      <c r="P44" s="30">
        <f t="shared" si="1"/>
        <v>2.3845889907946982</v>
      </c>
      <c r="Q44" s="30">
        <f t="shared" si="2"/>
        <v>6.0556181055392146</v>
      </c>
      <c r="R44" s="30">
        <f t="shared" si="3"/>
        <v>88.52130715233416</v>
      </c>
    </row>
    <row r="45" spans="1:18" x14ac:dyDescent="0.25">
      <c r="A45" s="27">
        <f>IF('E-Gilts'!A45&lt;'Adj-Gilts'!$B$10,'E-Gilts'!B45," ")</f>
        <v>24.708601435280787</v>
      </c>
      <c r="B45" s="25">
        <f>IF('E-Gilts'!A45&lt;'Adj-Gilts'!$B$10,'E-Gilts'!A45," ")</f>
        <v>63</v>
      </c>
      <c r="C45" s="25">
        <f>IF('E-Gilts'!A45&lt;'Adj-Gilts'!$B$10,'E-Gilts'!C45," ")</f>
        <v>696.65967326793418</v>
      </c>
      <c r="D45" s="27">
        <f>IF('E-Gilts'!A45&lt;'Adj-Gilts'!$B$10,'E-Gilts'!G45," ")</f>
        <v>25.784566511957646</v>
      </c>
      <c r="E45" s="26">
        <f>IF('E-Gilts'!A45&lt;'Adj-Gilts'!$B$10,'E-Gilts'!D45," ")</f>
        <v>0.61908423484130748</v>
      </c>
      <c r="F45" s="26"/>
      <c r="G45" s="216">
        <f t="shared" si="0"/>
        <v>63</v>
      </c>
      <c r="H45" s="27">
        <f>IF('E-Gilts'!A45&lt;'Adj-Gilts'!$B$10,'E-Gilts'!I45," ")</f>
        <v>41.24751931123113</v>
      </c>
      <c r="I45" s="217">
        <f>IF('E-Gilts'!A45&lt;'Adj-Gilts'!$B$10,'E-Gilts'!A45," ")</f>
        <v>63</v>
      </c>
      <c r="J45" s="25">
        <f>IF('E-Gilts'!A45&lt;'Adj-Gilts'!$B$10,'E-Gilts'!J45," ")</f>
        <v>1094.9298045059252</v>
      </c>
      <c r="K45" s="27">
        <f>IF('E-Gilts'!A45&lt;'Adj-Gilts'!$B$10,'E-Gilts'!N45," ")</f>
        <v>64.643626451467043</v>
      </c>
      <c r="L45" s="115">
        <f>IF('E-Gilts'!A45&lt;'Adj-Gilts'!$B$10,'E-Gilts'!K45," ")</f>
        <v>0.38810521021673267</v>
      </c>
      <c r="M45">
        <f>IF('E-Gilts'!A45&lt;'Adj-Gilts'!$B$10,'E-Gilts'!M45," ")</f>
        <v>2.8212190294855226</v>
      </c>
      <c r="N45" s="29">
        <f>IF('E-Gilts'!A45&lt;'Adj-Gilts'!$B$10,1/L45," ")</f>
        <v>2.5766209101948467</v>
      </c>
      <c r="O45" s="19"/>
      <c r="P45" s="30">
        <f t="shared" si="1"/>
        <v>2.4139070163502203</v>
      </c>
      <c r="Q45" s="30">
        <f t="shared" si="2"/>
        <v>6.219723293594031</v>
      </c>
      <c r="R45" s="30">
        <f t="shared" si="3"/>
        <v>90.935214168684382</v>
      </c>
    </row>
    <row r="46" spans="1:18" x14ac:dyDescent="0.25">
      <c r="A46" s="27">
        <f>IF('E-Gilts'!A46&lt;'Adj-Gilts'!$B$10,'E-Gilts'!B46," ")</f>
        <v>25.413580853764568</v>
      </c>
      <c r="B46" s="25">
        <f>IF('E-Gilts'!A46&lt;'Adj-Gilts'!$B$10,'E-Gilts'!A46," ")</f>
        <v>64</v>
      </c>
      <c r="C46" s="25">
        <f>IF('E-Gilts'!A46&lt;'Adj-Gilts'!$B$10,'E-Gilts'!C46," ")</f>
        <v>704.97941848378082</v>
      </c>
      <c r="D46" s="27">
        <f>IF('E-Gilts'!A46&lt;'Adj-Gilts'!$B$10,'E-Gilts'!G46," ")</f>
        <v>26.939680856430719</v>
      </c>
      <c r="E46" s="26">
        <f>IF('E-Gilts'!A46&lt;'Adj-Gilts'!$B$10,'E-Gilts'!D46," ")</f>
        <v>0.61031137034781602</v>
      </c>
      <c r="F46" s="26"/>
      <c r="G46" s="216">
        <f t="shared" si="0"/>
        <v>64</v>
      </c>
      <c r="H46" s="27">
        <f>IF('E-Gilts'!A46&lt;'Adj-Gilts'!$B$10,'E-Gilts'!I46," ")</f>
        <v>42.355525137433553</v>
      </c>
      <c r="I46" s="217">
        <f>IF('E-Gilts'!A46&lt;'Adj-Gilts'!$B$10,'E-Gilts'!A46," ")</f>
        <v>64</v>
      </c>
      <c r="J46" s="25">
        <f>IF('E-Gilts'!A46&lt;'Adj-Gilts'!$B$10,'E-Gilts'!J46," ")</f>
        <v>1108.0058262024222</v>
      </c>
      <c r="K46" s="27">
        <f>IF('E-Gilts'!A46&lt;'Adj-Gilts'!$B$10,'E-Gilts'!N46," ")</f>
        <v>67.539575086408021</v>
      </c>
      <c r="L46" s="115">
        <f>IF('E-Gilts'!A46&lt;'Adj-Gilts'!$B$10,'E-Gilts'!K46," ")</f>
        <v>0.38260548299573149</v>
      </c>
      <c r="M46">
        <f>IF('E-Gilts'!A46&lt;'Adj-Gilts'!$B$10,'E-Gilts'!M46," ")</f>
        <v>2.8959486349409778</v>
      </c>
      <c r="N46" s="29">
        <f>IF('E-Gilts'!A46&lt;'Adj-Gilts'!$B$10,1/L46," ")</f>
        <v>2.6136583097821324</v>
      </c>
      <c r="O46" s="19"/>
      <c r="P46" s="30">
        <f t="shared" si="1"/>
        <v>2.4427347095861029</v>
      </c>
      <c r="Q46" s="30">
        <f t="shared" si="2"/>
        <v>6.3844738723029613</v>
      </c>
      <c r="R46" s="30">
        <f t="shared" si="3"/>
        <v>93.377948878270487</v>
      </c>
    </row>
    <row r="47" spans="1:18" x14ac:dyDescent="0.25">
      <c r="A47" s="27">
        <f>IF('E-Gilts'!A47&lt;'Adj-Gilts'!$B$10,'E-Gilts'!B47," ")</f>
        <v>26.126737456166719</v>
      </c>
      <c r="B47" s="25">
        <f>IF('E-Gilts'!A47&lt;'Adj-Gilts'!$B$10,'E-Gilts'!A47," ")</f>
        <v>65</v>
      </c>
      <c r="C47" s="25">
        <f>IF('E-Gilts'!A47&lt;'Adj-Gilts'!$B$10,'E-Gilts'!C47," ")</f>
        <v>713.15660240215095</v>
      </c>
      <c r="D47" s="27">
        <f>IF('E-Gilts'!A47&lt;'Adj-Gilts'!$B$10,'E-Gilts'!G47," ")</f>
        <v>28.124701392862004</v>
      </c>
      <c r="E47" s="26">
        <f>IF('E-Gilts'!A47&lt;'Adj-Gilts'!$B$10,'E-Gilts'!D47," ")</f>
        <v>0.60180948808687984</v>
      </c>
      <c r="F47" s="26"/>
      <c r="G47" s="216">
        <f t="shared" si="0"/>
        <v>65</v>
      </c>
      <c r="H47" s="27">
        <f>IF('E-Gilts'!A47&lt;'Adj-Gilts'!$B$10,'E-Gilts'!I47," ")</f>
        <v>43.47638292382932</v>
      </c>
      <c r="I47" s="217">
        <f>IF('E-Gilts'!A47&lt;'Adj-Gilts'!$B$10,'E-Gilts'!A47," ")</f>
        <v>65</v>
      </c>
      <c r="J47" s="25">
        <f>IF('E-Gilts'!A47&lt;'Adj-Gilts'!$B$10,'E-Gilts'!J47," ")</f>
        <v>1120.8577863957698</v>
      </c>
      <c r="K47" s="27">
        <f>IF('E-Gilts'!A47&lt;'Adj-Gilts'!$B$10,'E-Gilts'!N47," ")</f>
        <v>70.510500537446944</v>
      </c>
      <c r="L47" s="115">
        <f>IF('E-Gilts'!A47&lt;'Adj-Gilts'!$B$10,'E-Gilts'!K47," ")</f>
        <v>0.37727563510683421</v>
      </c>
      <c r="M47">
        <f>IF('E-Gilts'!A47&lt;'Adj-Gilts'!$B$10,'E-Gilts'!M47," ")</f>
        <v>2.9709254510389291</v>
      </c>
      <c r="N47" s="29">
        <f>IF('E-Gilts'!A47&lt;'Adj-Gilts'!$B$10,1/L47," ")</f>
        <v>2.6505819802458941</v>
      </c>
      <c r="O47" s="19"/>
      <c r="P47" s="30">
        <f t="shared" si="1"/>
        <v>2.4710684317634573</v>
      </c>
      <c r="Q47" s="30">
        <f t="shared" si="2"/>
        <v>6.5497694571867004</v>
      </c>
      <c r="R47" s="30">
        <f t="shared" si="3"/>
        <v>95.849017310033943</v>
      </c>
    </row>
    <row r="48" spans="1:18" x14ac:dyDescent="0.25">
      <c r="A48" s="27">
        <f>IF('E-Gilts'!A48&lt;'Adj-Gilts'!$B$10,'E-Gilts'!B48," ")</f>
        <v>26.847927710419693</v>
      </c>
      <c r="B48" s="25">
        <f>IF('E-Gilts'!A48&lt;'Adj-Gilts'!$B$10,'E-Gilts'!A48," ")</f>
        <v>66</v>
      </c>
      <c r="C48" s="25">
        <f>IF('E-Gilts'!A48&lt;'Adj-Gilts'!$B$10,'E-Gilts'!C48," ")</f>
        <v>721.19025425297423</v>
      </c>
      <c r="D48" s="27">
        <f>IF('E-Gilts'!A48&lt;'Adj-Gilts'!$B$10,'E-Gilts'!G48," ")</f>
        <v>29.339708718696887</v>
      </c>
      <c r="E48" s="26">
        <f>IF('E-Gilts'!A48&lt;'Adj-Gilts'!$B$10,'E-Gilts'!D48," ")</f>
        <v>0.59356864680417831</v>
      </c>
      <c r="F48" s="26"/>
      <c r="G48" s="216">
        <f t="shared" si="0"/>
        <v>66</v>
      </c>
      <c r="H48" s="27">
        <f>IF('E-Gilts'!A48&lt;'Adj-Gilts'!$B$10,'E-Gilts'!I48," ")</f>
        <v>44.609867083170187</v>
      </c>
      <c r="I48" s="217">
        <f>IF('E-Gilts'!A48&lt;'Adj-Gilts'!$B$10,'E-Gilts'!A48," ")</f>
        <v>66</v>
      </c>
      <c r="J48" s="25">
        <f>IF('E-Gilts'!A48&lt;'Adj-Gilts'!$B$10,'E-Gilts'!J48," ")</f>
        <v>1133.4841593408671</v>
      </c>
      <c r="K48" s="27">
        <f>IF('E-Gilts'!A48&lt;'Adj-Gilts'!$B$10,'E-Gilts'!N48," ")</f>
        <v>73.556604867750181</v>
      </c>
      <c r="L48" s="115">
        <f>IF('E-Gilts'!A48&lt;'Adj-Gilts'!$B$10,'E-Gilts'!K48," ")</f>
        <v>0.37210943435677724</v>
      </c>
      <c r="M48">
        <f>IF('E-Gilts'!A48&lt;'Adj-Gilts'!$B$10,'E-Gilts'!M48," ")</f>
        <v>3.0461043303032365</v>
      </c>
      <c r="N48" s="29">
        <f>IF('E-Gilts'!A48&lt;'Adj-Gilts'!$B$10,1/L48," ")</f>
        <v>2.6873814734866501</v>
      </c>
      <c r="O48" s="19"/>
      <c r="P48" s="30">
        <f t="shared" si="1"/>
        <v>2.498904819190118</v>
      </c>
      <c r="Q48" s="30">
        <f t="shared" si="2"/>
        <v>6.7155105150980301</v>
      </c>
      <c r="R48" s="30">
        <f t="shared" si="3"/>
        <v>98.34792212922406</v>
      </c>
    </row>
    <row r="49" spans="1:18" x14ac:dyDescent="0.25">
      <c r="A49" s="27">
        <f>IF('E-Gilts'!A49&lt;'Adj-Gilts'!$B$10,'E-Gilts'!B49," ")</f>
        <v>27.577007192337206</v>
      </c>
      <c r="B49" s="25">
        <f>IF('E-Gilts'!A49&lt;'Adj-Gilts'!$B$10,'E-Gilts'!A49," ")</f>
        <v>67</v>
      </c>
      <c r="C49" s="25">
        <f>IF('E-Gilts'!A49&lt;'Adj-Gilts'!$B$10,'E-Gilts'!C49," ")</f>
        <v>729.07948191751257</v>
      </c>
      <c r="D49" s="27">
        <f>IF('E-Gilts'!A49&lt;'Adj-Gilts'!$B$10,'E-Gilts'!G49," ")</f>
        <v>30.584765606894582</v>
      </c>
      <c r="E49" s="26">
        <f>IF('E-Gilts'!A49&lt;'Adj-Gilts'!$B$10,'E-Gilts'!D49," ")</f>
        <v>0.58557925250540643</v>
      </c>
      <c r="F49" s="26"/>
      <c r="G49" s="216">
        <f t="shared" si="0"/>
        <v>67</v>
      </c>
      <c r="H49" s="27">
        <f>IF('E-Gilts'!A49&lt;'Adj-Gilts'!$B$10,'E-Gilts'!I49," ")</f>
        <v>45.755750626077948</v>
      </c>
      <c r="I49" s="217">
        <f>IF('E-Gilts'!A49&lt;'Adj-Gilts'!$B$10,'E-Gilts'!A49," ")</f>
        <v>67</v>
      </c>
      <c r="J49" s="25">
        <f>IF('E-Gilts'!A49&lt;'Adj-Gilts'!$B$10,'E-Gilts'!J49," ")</f>
        <v>1145.8835429077606</v>
      </c>
      <c r="K49" s="27">
        <f>IF('E-Gilts'!A49&lt;'Adj-Gilts'!$B$10,'E-Gilts'!N49," ")</f>
        <v>76.67804545330948</v>
      </c>
      <c r="L49" s="115">
        <f>IF('E-Gilts'!A49&lt;'Adj-Gilts'!$B$10,'E-Gilts'!K49," ")</f>
        <v>0.367100866250332</v>
      </c>
      <c r="M49">
        <f>IF('E-Gilts'!A49&lt;'Adj-Gilts'!$B$10,'E-Gilts'!M49," ")</f>
        <v>3.1214405855592942</v>
      </c>
      <c r="N49" s="29">
        <f>IF('E-Gilts'!A49&lt;'Adj-Gilts'!$B$10,1/L49," ")</f>
        <v>2.7240469634797426</v>
      </c>
      <c r="O49" s="19"/>
      <c r="P49" s="30">
        <f t="shared" si="1"/>
        <v>2.5262407806986711</v>
      </c>
      <c r="Q49" s="30">
        <f t="shared" si="2"/>
        <v>6.8815985276809082</v>
      </c>
      <c r="R49" s="30">
        <f t="shared" si="3"/>
        <v>100.87416290992272</v>
      </c>
    </row>
    <row r="50" spans="1:18" x14ac:dyDescent="0.25">
      <c r="A50" s="27">
        <f>IF('E-Gilts'!A50&lt;'Adj-Gilts'!$B$10,'E-Gilts'!B50," ")</f>
        <v>28.313830663494588</v>
      </c>
      <c r="B50" s="25">
        <f>IF('E-Gilts'!A50&lt;'Adj-Gilts'!$B$10,'E-Gilts'!A50," ")</f>
        <v>68</v>
      </c>
      <c r="C50" s="25">
        <f>IF('E-Gilts'!A50&lt;'Adj-Gilts'!$B$10,'E-Gilts'!C50," ")</f>
        <v>736.82347115738264</v>
      </c>
      <c r="D50" s="27">
        <f>IF('E-Gilts'!A50&lt;'Adj-Gilts'!$B$10,'E-Gilts'!G50," ")</f>
        <v>31.859917218147437</v>
      </c>
      <c r="E50" s="26">
        <f>IF('E-Gilts'!A50&lt;'Adj-Gilts'!$B$10,'E-Gilts'!D50," ")</f>
        <v>0.57783205122835768</v>
      </c>
      <c r="F50" s="26"/>
      <c r="G50" s="216">
        <f t="shared" si="0"/>
        <v>68</v>
      </c>
      <c r="H50" s="27">
        <f>IF('E-Gilts'!A50&lt;'Adj-Gilts'!$B$10,'E-Gilts'!I50," ")</f>
        <v>46.913805283447857</v>
      </c>
      <c r="I50" s="217">
        <f>IF('E-Gilts'!A50&lt;'Adj-Gilts'!$B$10,'E-Gilts'!A50," ")</f>
        <v>68</v>
      </c>
      <c r="J50" s="25">
        <f>IF('E-Gilts'!A50&lt;'Adj-Gilts'!$B$10,'E-Gilts'!J50," ")</f>
        <v>1158.0546573699089</v>
      </c>
      <c r="K50" s="27">
        <f>IF('E-Gilts'!A50&lt;'Adj-Gilts'!$B$10,'E-Gilts'!N50," ")</f>
        <v>79.874935514989929</v>
      </c>
      <c r="L50" s="115">
        <f>IF('E-Gilts'!A50&lt;'Adj-Gilts'!$B$10,'E-Gilts'!K50," ")</f>
        <v>0.36224412945910833</v>
      </c>
      <c r="M50">
        <f>IF('E-Gilts'!A50&lt;'Adj-Gilts'!$B$10,'E-Gilts'!M50," ")</f>
        <v>3.1968900616804476</v>
      </c>
      <c r="N50" s="29">
        <f>IF('E-Gilts'!A50&lt;'Adj-Gilts'!$B$10,1/L50," ")</f>
        <v>2.7605692368104595</v>
      </c>
      <c r="O50" s="19"/>
      <c r="P50" s="30">
        <f t="shared" si="1"/>
        <v>2.5530734949750342</v>
      </c>
      <c r="Q50" s="30">
        <f t="shared" si="2"/>
        <v>7.0479361495442427</v>
      </c>
      <c r="R50" s="30">
        <f t="shared" si="3"/>
        <v>103.42723640489776</v>
      </c>
    </row>
    <row r="51" spans="1:18" x14ac:dyDescent="0.25">
      <c r="A51" s="27">
        <f>IF('E-Gilts'!A51&lt;'Adj-Gilts'!$B$10,'E-Gilts'!B51," ")</f>
        <v>29.058252148295395</v>
      </c>
      <c r="B51" s="25">
        <f>IF('E-Gilts'!A51&lt;'Adj-Gilts'!$B$10,'E-Gilts'!A51," ")</f>
        <v>69</v>
      </c>
      <c r="C51" s="25">
        <f>IF('E-Gilts'!A51&lt;'Adj-Gilts'!$B$10,'E-Gilts'!C51," ")</f>
        <v>744.42148480080664</v>
      </c>
      <c r="D51" s="27">
        <f>IF('E-Gilts'!A51&lt;'Adj-Gilts'!$B$10,'E-Gilts'!G51," ")</f>
        <v>33.165191340681538</v>
      </c>
      <c r="E51" s="26">
        <f>IF('E-Gilts'!A51&lt;'Adj-Gilts'!$B$10,'E-Gilts'!D51," ")</f>
        <v>0.57031812088296208</v>
      </c>
      <c r="F51" s="26"/>
      <c r="G51" s="216">
        <f t="shared" si="0"/>
        <v>69</v>
      </c>
      <c r="H51" s="27">
        <f>IF('E-Gilts'!A51&lt;'Adj-Gilts'!$B$10,'E-Gilts'!I51," ")</f>
        <v>48.083801627573081</v>
      </c>
      <c r="I51" s="217">
        <f>IF('E-Gilts'!A51&lt;'Adj-Gilts'!$B$10,'E-Gilts'!A51," ")</f>
        <v>69</v>
      </c>
      <c r="J51" s="25">
        <f>IF('E-Gilts'!A51&lt;'Adj-Gilts'!$B$10,'E-Gilts'!J51," ")</f>
        <v>1169.9963441252264</v>
      </c>
      <c r="K51" s="27">
        <f>IF('E-Gilts'!A51&lt;'Adj-Gilts'!$B$10,'E-Gilts'!N51," ")</f>
        <v>83.14734471972605</v>
      </c>
      <c r="L51" s="115">
        <f>IF('E-Gilts'!A51&lt;'Adj-Gilts'!$B$10,'E-Gilts'!K51," ")</f>
        <v>0.35753363070605709</v>
      </c>
      <c r="M51">
        <f>IF('E-Gilts'!A51&lt;'Adj-Gilts'!$B$10,'E-Gilts'!M51," ")</f>
        <v>3.2724092047361211</v>
      </c>
      <c r="N51" s="29">
        <f>IF('E-Gilts'!A51&lt;'Adj-Gilts'!$B$10,1/L51," ")</f>
        <v>2.7969396837584228</v>
      </c>
      <c r="O51" s="19"/>
      <c r="P51" s="30">
        <f t="shared" si="1"/>
        <v>2.5794004077388393</v>
      </c>
      <c r="Q51" s="30">
        <f t="shared" si="2"/>
        <v>7.2144273607074139</v>
      </c>
      <c r="R51" s="30">
        <f t="shared" si="3"/>
        <v>106.0066368126366</v>
      </c>
    </row>
    <row r="52" spans="1:18" x14ac:dyDescent="0.25">
      <c r="A52" s="27">
        <f>IF('E-Gilts'!A52&lt;'Adj-Gilts'!$B$10,'E-Gilts'!B52," ")</f>
        <v>29.810125010182226</v>
      </c>
      <c r="B52" s="25">
        <f>IF('E-Gilts'!A52&lt;'Adj-Gilts'!$B$10,'E-Gilts'!A52," ")</f>
        <v>70</v>
      </c>
      <c r="C52" s="25">
        <f>IF('E-Gilts'!A52&lt;'Adj-Gilts'!$B$10,'E-Gilts'!C52," ")</f>
        <v>751.87286188683083</v>
      </c>
      <c r="D52" s="27">
        <f>IF('E-Gilts'!A52&lt;'Adj-Gilts'!$B$10,'E-Gilts'!G52," ")</f>
        <v>34.500598656528602</v>
      </c>
      <c r="E52" s="26">
        <f>IF('E-Gilts'!A52&lt;'Adj-Gilts'!$B$10,'E-Gilts'!D52," ")</f>
        <v>0.56302886240361127</v>
      </c>
      <c r="F52" s="26"/>
      <c r="G52" s="216">
        <f t="shared" si="0"/>
        <v>70</v>
      </c>
      <c r="H52" s="27">
        <f>IF('E-Gilts'!A52&lt;'Adj-Gilts'!$B$10,'E-Gilts'!I52," ")</f>
        <v>49.265509191924146</v>
      </c>
      <c r="I52" s="217">
        <f>IF('E-Gilts'!A52&lt;'Adj-Gilts'!$B$10,'E-Gilts'!A52," ")</f>
        <v>70</v>
      </c>
      <c r="J52" s="25">
        <f>IF('E-Gilts'!A52&lt;'Adj-Gilts'!$B$10,'E-Gilts'!J52," ")</f>
        <v>1181.7075643510634</v>
      </c>
      <c r="K52" s="27">
        <f>IF('E-Gilts'!A52&lt;'Adj-Gilts'!$B$10,'E-Gilts'!N52," ")</f>
        <v>86.495299848083164</v>
      </c>
      <c r="L52" s="115">
        <f>IF('E-Gilts'!A52&lt;'Adj-Gilts'!$B$10,'E-Gilts'!K52," ")</f>
        <v>0.35296397921884437</v>
      </c>
      <c r="M52">
        <f>IF('E-Gilts'!A52&lt;'Adj-Gilts'!$B$10,'E-Gilts'!M52," ")</f>
        <v>3.3479551283571132</v>
      </c>
      <c r="N52" s="29">
        <f>IF('E-Gilts'!A52&lt;'Adj-Gilts'!$B$10,1/L52," ")</f>
        <v>2.8331502897636502</v>
      </c>
      <c r="O52" s="19"/>
      <c r="P52" s="30">
        <f t="shared" si="1"/>
        <v>2.6052192287781724</v>
      </c>
      <c r="Q52" s="30">
        <f t="shared" si="2"/>
        <v>7.380977612910713</v>
      </c>
      <c r="R52" s="30">
        <f t="shared" si="3"/>
        <v>108.61185604141477</v>
      </c>
    </row>
    <row r="53" spans="1:18" x14ac:dyDescent="0.25">
      <c r="A53" s="27">
        <f>IF('E-Gilts'!A53&lt;'Adj-Gilts'!$B$10,'E-Gilts'!B53," ")</f>
        <v>30.569302026950556</v>
      </c>
      <c r="B53" s="25">
        <f>IF('E-Gilts'!A53&lt;'Adj-Gilts'!$B$10,'E-Gilts'!A53," ")</f>
        <v>71</v>
      </c>
      <c r="C53" s="25">
        <f>IF('E-Gilts'!A53&lt;'Adj-Gilts'!$B$10,'E-Gilts'!C53," ")</f>
        <v>759.17701676833008</v>
      </c>
      <c r="D53" s="27">
        <f>IF('E-Gilts'!A53&lt;'Adj-Gilts'!$B$10,'E-Gilts'!G53," ")</f>
        <v>35.866133033091039</v>
      </c>
      <c r="E53" s="26">
        <f>IF('E-Gilts'!A53&lt;'Adj-Gilts'!$B$10,'E-Gilts'!D53," ")</f>
        <v>0.55595599041560906</v>
      </c>
      <c r="F53" s="26"/>
      <c r="G53" s="216">
        <f t="shared" si="0"/>
        <v>71</v>
      </c>
      <c r="H53" s="27">
        <f>IF('E-Gilts'!A53&lt;'Adj-Gilts'!$B$10,'E-Gilts'!I53," ")</f>
        <v>50.45869658951856</v>
      </c>
      <c r="I53" s="217">
        <f>IF('E-Gilts'!A53&lt;'Adj-Gilts'!$B$10,'E-Gilts'!A53," ")</f>
        <v>71</v>
      </c>
      <c r="J53" s="25">
        <f>IF('E-Gilts'!A53&lt;'Adj-Gilts'!$B$10,'E-Gilts'!J53," ")</f>
        <v>1193.1873975944111</v>
      </c>
      <c r="K53" s="27">
        <f>IF('E-Gilts'!A53&lt;'Adj-Gilts'!$B$10,'E-Gilts'!N53," ")</f>
        <v>89.918785525230462</v>
      </c>
      <c r="L53" s="115">
        <f>IF('E-Gilts'!A53&lt;'Adj-Gilts'!$B$10,'E-Gilts'!K53," ")</f>
        <v>0.34852998087862935</v>
      </c>
      <c r="M53">
        <f>IF('E-Gilts'!A53&lt;'Adj-Gilts'!$B$10,'E-Gilts'!M53," ")</f>
        <v>3.4234856771473035</v>
      </c>
      <c r="N53" s="29">
        <f>IF('E-Gilts'!A53&lt;'Adj-Gilts'!$B$10,1/L53," ")</f>
        <v>2.8691936271279799</v>
      </c>
      <c r="O53" s="19"/>
      <c r="P53" s="30">
        <f t="shared" si="1"/>
        <v>2.630527928841508</v>
      </c>
      <c r="Q53" s="30">
        <f t="shared" si="2"/>
        <v>7.5474939694142194</v>
      </c>
      <c r="R53" s="30">
        <f t="shared" si="3"/>
        <v>111.2423839702563</v>
      </c>
    </row>
    <row r="54" spans="1:18" x14ac:dyDescent="0.25">
      <c r="A54" s="27">
        <f>IF('E-Gilts'!A54&lt;'Adj-Gilts'!$B$10,'E-Gilts'!B54," ")</f>
        <v>31.335635465125414</v>
      </c>
      <c r="B54" s="25">
        <f>IF('E-Gilts'!A54&lt;'Adj-Gilts'!$B$10,'E-Gilts'!A54," ")</f>
        <v>72</v>
      </c>
      <c r="C54" s="25">
        <f>IF('E-Gilts'!A54&lt;'Adj-Gilts'!$B$10,'E-Gilts'!C54," ")</f>
        <v>766.33343817485763</v>
      </c>
      <c r="D54" s="27">
        <f>IF('E-Gilts'!A54&lt;'Adj-Gilts'!$B$10,'E-Gilts'!G54," ")</f>
        <v>37.261771838761433</v>
      </c>
      <c r="E54" s="26">
        <f>IF('E-Gilts'!A54&lt;'Adj-Gilts'!$B$10,'E-Gilts'!D54," ")</f>
        <v>0.5490915235813828</v>
      </c>
      <c r="F54" s="26"/>
      <c r="G54" s="216">
        <f t="shared" si="0"/>
        <v>72</v>
      </c>
      <c r="H54" s="27">
        <f>IF('E-Gilts'!A54&lt;'Adj-Gilts'!$B$10,'E-Gilts'!I54," ")</f>
        <v>51.663131629817556</v>
      </c>
      <c r="I54" s="217">
        <f>IF('E-Gilts'!A54&lt;'Adj-Gilts'!$B$10,'E-Gilts'!A54," ")</f>
        <v>72</v>
      </c>
      <c r="J54" s="25">
        <f>IF('E-Gilts'!A54&lt;'Adj-Gilts'!$B$10,'E-Gilts'!J54," ")</f>
        <v>1204.4350402989969</v>
      </c>
      <c r="K54" s="27">
        <f>IF('E-Gilts'!A54&lt;'Adj-Gilts'!$B$10,'E-Gilts'!N54," ")</f>
        <v>93.417745012220053</v>
      </c>
      <c r="L54" s="115">
        <f>IF('E-Gilts'!A54&lt;'Adj-Gilts'!$B$10,'E-Gilts'!K54," ")</f>
        <v>0.34422663216808419</v>
      </c>
      <c r="M54">
        <f>IF('E-Gilts'!A54&lt;'Adj-Gilts'!$B$10,'E-Gilts'!M54," ")</f>
        <v>3.4989594869895981</v>
      </c>
      <c r="N54" s="29">
        <f>IF('E-Gilts'!A54&lt;'Adj-Gilts'!$B$10,1/L54," ")</f>
        <v>2.9050628468273336</v>
      </c>
      <c r="O54" s="19"/>
      <c r="P54" s="30">
        <f t="shared" si="1"/>
        <v>2.6553247363905106</v>
      </c>
      <c r="Q54" s="30">
        <f t="shared" si="2"/>
        <v>7.713885237949655</v>
      </c>
      <c r="R54" s="30">
        <f t="shared" si="3"/>
        <v>113.8977087066468</v>
      </c>
    </row>
    <row r="55" spans="1:18" x14ac:dyDescent="0.25">
      <c r="A55" s="27">
        <f>IF('E-Gilts'!A55&lt;'Adj-Gilts'!$B$10,'E-Gilts'!B55," ")</f>
        <v>32.108977153361458</v>
      </c>
      <c r="B55" s="25">
        <f>IF('E-Gilts'!A55&lt;'Adj-Gilts'!$B$10,'E-Gilts'!A55," ")</f>
        <v>73</v>
      </c>
      <c r="C55" s="25">
        <f>IF('E-Gilts'!A55&lt;'Adj-Gilts'!$B$10,'E-Gilts'!C55," ")</f>
        <v>773.34168823604443</v>
      </c>
      <c r="D55" s="27">
        <f>IF('E-Gilts'!A55&lt;'Adj-Gilts'!$B$10,'E-Gilts'!G55," ")</f>
        <v>38.68747628130221</v>
      </c>
      <c r="E55" s="26">
        <f>IF('E-Gilts'!A55&lt;'Adj-Gilts'!$B$10,'E-Gilts'!D55," ")</f>
        <v>0.54242777476224746</v>
      </c>
      <c r="F55" s="26"/>
      <c r="G55" s="216">
        <f t="shared" si="0"/>
        <v>73</v>
      </c>
      <c r="H55" s="27">
        <f>IF('E-Gilts'!A55&lt;'Adj-Gilts'!$B$10,'E-Gilts'!I55," ")</f>
        <v>52.878581434087934</v>
      </c>
      <c r="I55" s="217">
        <f>IF('E-Gilts'!A55&lt;'Adj-Gilts'!$B$10,'E-Gilts'!A55," ")</f>
        <v>73</v>
      </c>
      <c r="J55" s="25">
        <f>IF('E-Gilts'!A55&lt;'Adj-Gilts'!$B$10,'E-Gilts'!J55," ")</f>
        <v>1215.4498042703754</v>
      </c>
      <c r="K55" s="27">
        <f>IF('E-Gilts'!A55&lt;'Adj-Gilts'!$B$10,'E-Gilts'!N55," ")</f>
        <v>96.992081054327357</v>
      </c>
      <c r="L55" s="115">
        <f>IF('E-Gilts'!A55&lt;'Adj-Gilts'!$B$10,'E-Gilts'!K55," ")</f>
        <v>0.34004911400378307</v>
      </c>
      <c r="M55">
        <f>IF('E-Gilts'!A55&lt;'Adj-Gilts'!$B$10,'E-Gilts'!M55," ")</f>
        <v>3.5743360421072983</v>
      </c>
      <c r="N55" s="29">
        <f>IF('E-Gilts'!A55&lt;'Adj-Gilts'!$B$10,1/L55," ")</f>
        <v>2.9407516703274661</v>
      </c>
      <c r="O55" s="19"/>
      <c r="P55" s="30">
        <f t="shared" si="1"/>
        <v>2.679608134216136</v>
      </c>
      <c r="Q55" s="30">
        <f t="shared" si="2"/>
        <v>7.8800620965191674</v>
      </c>
      <c r="R55" s="30">
        <f t="shared" si="3"/>
        <v>116.57731684086293</v>
      </c>
    </row>
    <row r="56" spans="1:18" x14ac:dyDescent="0.25">
      <c r="A56" s="27">
        <f>IF('E-Gilts'!A56&lt;'Adj-Gilts'!$B$10,'E-Gilts'!B56," ")</f>
        <v>32.889178554828867</v>
      </c>
      <c r="B56" s="25">
        <f>IF('E-Gilts'!A56&lt;'Adj-Gilts'!$B$10,'E-Gilts'!A56," ")</f>
        <v>74</v>
      </c>
      <c r="C56" s="25">
        <f>IF('E-Gilts'!A56&lt;'Adj-Gilts'!$B$10,'E-Gilts'!C56," ")</f>
        <v>780.20140146740857</v>
      </c>
      <c r="D56" s="27">
        <f>IF('E-Gilts'!A56&lt;'Adj-Gilts'!$B$10,'E-Gilts'!G56," ")</f>
        <v>40.143191767644382</v>
      </c>
      <c r="E56" s="26">
        <f>IF('E-Gilts'!A56&lt;'Adj-Gilts'!$B$10,'E-Gilts'!D56," ")</f>
        <v>0.53595734110643256</v>
      </c>
      <c r="F56" s="26"/>
      <c r="G56" s="216">
        <f t="shared" si="0"/>
        <v>74</v>
      </c>
      <c r="H56" s="27">
        <f>IF('E-Gilts'!A56&lt;'Adj-Gilts'!$B$10,'E-Gilts'!I56," ")</f>
        <v>54.104812549169871</v>
      </c>
      <c r="I56" s="217">
        <f>IF('E-Gilts'!A56&lt;'Adj-Gilts'!$B$10,'E-Gilts'!A56," ")</f>
        <v>74</v>
      </c>
      <c r="J56" s="25">
        <f>IF('E-Gilts'!A56&lt;'Adj-Gilts'!$B$10,'E-Gilts'!J56," ")</f>
        <v>1226.2311150819394</v>
      </c>
      <c r="K56" s="27">
        <f>IF('E-Gilts'!A56&lt;'Adj-Gilts'!$B$10,'E-Gilts'!N56," ")</f>
        <v>100.64165678309048</v>
      </c>
      <c r="L56" s="115">
        <f>IF('E-Gilts'!A56&lt;'Adj-Gilts'!$B$10,'E-Gilts'!K56," ")</f>
        <v>0.33599278552236539</v>
      </c>
      <c r="M56">
        <f>IF('E-Gilts'!A56&lt;'Adj-Gilts'!$B$10,'E-Gilts'!M56," ")</f>
        <v>3.6495757287631259</v>
      </c>
      <c r="N56" s="29">
        <f>IF('E-Gilts'!A56&lt;'Adj-Gilts'!$B$10,1/L56," ")</f>
        <v>2.9762543813115143</v>
      </c>
      <c r="O56" s="19"/>
      <c r="P56" s="30">
        <f t="shared" si="1"/>
        <v>2.7033768559244931</v>
      </c>
      <c r="Q56" s="30">
        <f t="shared" si="2"/>
        <v>8.0459372117814176</v>
      </c>
      <c r="R56" s="30">
        <f t="shared" si="3"/>
        <v>119.28069369678742</v>
      </c>
    </row>
    <row r="57" spans="1:18" x14ac:dyDescent="0.25">
      <c r="A57" s="27" t="str">
        <f>IF('E-Gilts'!A57&lt;'Adj-Gilts'!$B$10,'E-Gilts'!B57," ")</f>
        <v xml:space="preserve"> </v>
      </c>
      <c r="B57" s="25" t="str">
        <f>IF('E-Gilts'!A57&lt;'Adj-Gilts'!$B$10,'E-Gilts'!A57," ")</f>
        <v xml:space="preserve"> </v>
      </c>
      <c r="C57" s="25" t="str">
        <f>IF('E-Gilts'!A57&lt;'Adj-Gilts'!$B$10,'E-Gilts'!C57," ")</f>
        <v xml:space="preserve"> </v>
      </c>
      <c r="D57" s="27" t="str">
        <f>IF('E-Gilts'!A57&lt;'Adj-Gilts'!$B$10,'E-Gilts'!G57," ")</f>
        <v xml:space="preserve"> </v>
      </c>
      <c r="E57" s="26" t="str">
        <f>IF('E-Gilts'!A57&lt;'Adj-Gilts'!$B$10,'E-Gilts'!D57," ")</f>
        <v xml:space="preserve"> </v>
      </c>
      <c r="F57" s="26"/>
      <c r="G57" s="216" t="str">
        <f t="shared" si="0"/>
        <v xml:space="preserve"> </v>
      </c>
      <c r="H57" s="27" t="str">
        <f>IF('E-Gilts'!A57&lt;'Adj-Gilts'!$B$10,'E-Gilts'!I57," ")</f>
        <v xml:space="preserve"> </v>
      </c>
      <c r="I57" s="217" t="str">
        <f>IF('E-Gilts'!A57&lt;'Adj-Gilts'!$B$10,'E-Gilts'!A57," ")</f>
        <v xml:space="preserve"> </v>
      </c>
      <c r="J57" s="25" t="str">
        <f>IF('E-Gilts'!A57&lt;'Adj-Gilts'!$B$10,'E-Gilts'!J57," ")</f>
        <v xml:space="preserve"> </v>
      </c>
      <c r="K57" s="27" t="str">
        <f>IF('E-Gilts'!A57&lt;'Adj-Gilts'!$B$10,'E-Gilts'!N57," ")</f>
        <v xml:space="preserve"> </v>
      </c>
      <c r="L57" s="115" t="str">
        <f>IF('E-Gilts'!A57&lt;'Adj-Gilts'!$B$10,'E-Gilts'!K57," ")</f>
        <v xml:space="preserve"> </v>
      </c>
      <c r="M57" t="str">
        <f>IF('E-Gilts'!A57&lt;'Adj-Gilts'!$B$10,'E-Gilts'!M57," ")</f>
        <v xml:space="preserve"> </v>
      </c>
      <c r="N57" s="29" t="str">
        <f>IF('E-Gilts'!A57&lt;'Adj-Gilts'!$B$10,1/L57," ")</f>
        <v xml:space="preserve"> </v>
      </c>
      <c r="O57" s="19"/>
      <c r="P57" s="30" t="str">
        <f t="shared" si="1"/>
        <v/>
      </c>
      <c r="Q57" s="30" t="str">
        <f t="shared" si="2"/>
        <v/>
      </c>
      <c r="R57" s="30" t="str">
        <f t="shared" si="3"/>
        <v/>
      </c>
    </row>
    <row r="58" spans="1:18" x14ac:dyDescent="0.25">
      <c r="A58" s="27" t="str">
        <f>IF('E-Gilts'!A58&lt;'Adj-Gilts'!$B$10,'E-Gilts'!B58," ")</f>
        <v xml:space="preserve"> </v>
      </c>
      <c r="B58" s="25" t="str">
        <f>IF('E-Gilts'!A58&lt;'Adj-Gilts'!$B$10,'E-Gilts'!A58," ")</f>
        <v xml:space="preserve"> </v>
      </c>
      <c r="C58" s="25" t="str">
        <f>IF('E-Gilts'!A58&lt;'Adj-Gilts'!$B$10,'E-Gilts'!C58," ")</f>
        <v xml:space="preserve"> </v>
      </c>
      <c r="D58" s="27" t="str">
        <f>IF('E-Gilts'!A58&lt;'Adj-Gilts'!$B$10,'E-Gilts'!G58," ")</f>
        <v xml:space="preserve"> </v>
      </c>
      <c r="E58" s="26" t="str">
        <f>IF('E-Gilts'!A58&lt;'Adj-Gilts'!$B$10,'E-Gilts'!D58," ")</f>
        <v xml:space="preserve"> </v>
      </c>
      <c r="F58" s="26"/>
      <c r="G58" s="216" t="str">
        <f t="shared" si="0"/>
        <v xml:space="preserve"> </v>
      </c>
      <c r="H58" s="27" t="str">
        <f>IF('E-Gilts'!A58&lt;'Adj-Gilts'!$B$10,'E-Gilts'!I58," ")</f>
        <v xml:space="preserve"> </v>
      </c>
      <c r="I58" s="217" t="str">
        <f>IF('E-Gilts'!A58&lt;'Adj-Gilts'!$B$10,'E-Gilts'!A58," ")</f>
        <v xml:space="preserve"> </v>
      </c>
      <c r="J58" s="25" t="str">
        <f>IF('E-Gilts'!A58&lt;'Adj-Gilts'!$B$10,'E-Gilts'!J58," ")</f>
        <v xml:space="preserve"> </v>
      </c>
      <c r="K58" s="27" t="str">
        <f>IF('E-Gilts'!A58&lt;'Adj-Gilts'!$B$10,'E-Gilts'!N58," ")</f>
        <v xml:space="preserve"> </v>
      </c>
      <c r="L58" s="115" t="str">
        <f>IF('E-Gilts'!A58&lt;'Adj-Gilts'!$B$10,'E-Gilts'!K58," ")</f>
        <v xml:space="preserve"> </v>
      </c>
      <c r="M58" t="str">
        <f>IF('E-Gilts'!A58&lt;'Adj-Gilts'!$B$10,'E-Gilts'!M58," ")</f>
        <v xml:space="preserve"> </v>
      </c>
      <c r="N58" s="29" t="str">
        <f>IF('E-Gilts'!A58&lt;'Adj-Gilts'!$B$10,1/L58," ")</f>
        <v xml:space="preserve"> </v>
      </c>
      <c r="O58" s="19"/>
      <c r="P58" s="30" t="str">
        <f t="shared" si="1"/>
        <v/>
      </c>
      <c r="Q58" s="30" t="str">
        <f t="shared" si="2"/>
        <v/>
      </c>
      <c r="R58" s="30" t="str">
        <f t="shared" si="3"/>
        <v/>
      </c>
    </row>
    <row r="59" spans="1:18" x14ac:dyDescent="0.25">
      <c r="A59" s="27" t="str">
        <f>IF('E-Gilts'!A59&lt;'Adj-Gilts'!$B$10,'E-Gilts'!B59," ")</f>
        <v xml:space="preserve"> </v>
      </c>
      <c r="B59" s="25" t="str">
        <f>IF('E-Gilts'!A59&lt;'Adj-Gilts'!$B$10,'E-Gilts'!A59," ")</f>
        <v xml:space="preserve"> </v>
      </c>
      <c r="C59" s="25" t="str">
        <f>IF('E-Gilts'!A59&lt;'Adj-Gilts'!$B$10,'E-Gilts'!C59," ")</f>
        <v xml:space="preserve"> </v>
      </c>
      <c r="D59" s="27" t="str">
        <f>IF('E-Gilts'!A59&lt;'Adj-Gilts'!$B$10,'E-Gilts'!G59," ")</f>
        <v xml:space="preserve"> </v>
      </c>
      <c r="E59" s="26" t="str">
        <f>IF('E-Gilts'!A59&lt;'Adj-Gilts'!$B$10,'E-Gilts'!D59," ")</f>
        <v xml:space="preserve"> </v>
      </c>
      <c r="F59" s="26"/>
      <c r="G59" s="216" t="str">
        <f t="shared" si="0"/>
        <v xml:space="preserve"> </v>
      </c>
      <c r="H59" s="27" t="str">
        <f>IF('E-Gilts'!A59&lt;'Adj-Gilts'!$B$10,'E-Gilts'!I59," ")</f>
        <v xml:space="preserve"> </v>
      </c>
      <c r="I59" s="217" t="str">
        <f>IF('E-Gilts'!A59&lt;'Adj-Gilts'!$B$10,'E-Gilts'!A59," ")</f>
        <v xml:space="preserve"> </v>
      </c>
      <c r="J59" s="25" t="str">
        <f>IF('E-Gilts'!A59&lt;'Adj-Gilts'!$B$10,'E-Gilts'!J59," ")</f>
        <v xml:space="preserve"> </v>
      </c>
      <c r="K59" s="27" t="str">
        <f>IF('E-Gilts'!A59&lt;'Adj-Gilts'!$B$10,'E-Gilts'!N59," ")</f>
        <v xml:space="preserve"> </v>
      </c>
      <c r="L59" s="115" t="str">
        <f>IF('E-Gilts'!A59&lt;'Adj-Gilts'!$B$10,'E-Gilts'!K59," ")</f>
        <v xml:space="preserve"> </v>
      </c>
      <c r="M59" t="str">
        <f>IF('E-Gilts'!A59&lt;'Adj-Gilts'!$B$10,'E-Gilts'!M59," ")</f>
        <v xml:space="preserve"> </v>
      </c>
      <c r="N59" s="29" t="str">
        <f>IF('E-Gilts'!A59&lt;'Adj-Gilts'!$B$10,1/L59," ")</f>
        <v xml:space="preserve"> </v>
      </c>
      <c r="O59" s="19"/>
      <c r="P59" s="30" t="str">
        <f t="shared" si="1"/>
        <v/>
      </c>
      <c r="Q59" s="30" t="str">
        <f t="shared" si="2"/>
        <v/>
      </c>
      <c r="R59" s="30" t="str">
        <f t="shared" si="3"/>
        <v/>
      </c>
    </row>
    <row r="60" spans="1:18" x14ac:dyDescent="0.25">
      <c r="A60" s="27" t="str">
        <f>IF('E-Gilts'!A60&lt;'Adj-Gilts'!$B$10,'E-Gilts'!B60," ")</f>
        <v xml:space="preserve"> </v>
      </c>
      <c r="B60" s="25" t="str">
        <f>IF('E-Gilts'!A60&lt;'Adj-Gilts'!$B$10,'E-Gilts'!A60," ")</f>
        <v xml:space="preserve"> </v>
      </c>
      <c r="C60" s="25" t="str">
        <f>IF('E-Gilts'!A60&lt;'Adj-Gilts'!$B$10,'E-Gilts'!C60," ")</f>
        <v xml:space="preserve"> </v>
      </c>
      <c r="D60" s="27" t="str">
        <f>IF('E-Gilts'!A60&lt;'Adj-Gilts'!$B$10,'E-Gilts'!G60," ")</f>
        <v xml:space="preserve"> </v>
      </c>
      <c r="E60" s="26" t="str">
        <f>IF('E-Gilts'!A60&lt;'Adj-Gilts'!$B$10,'E-Gilts'!D60," ")</f>
        <v xml:space="preserve"> </v>
      </c>
      <c r="F60" s="26"/>
      <c r="G60" s="216" t="str">
        <f t="shared" si="0"/>
        <v xml:space="preserve"> </v>
      </c>
      <c r="H60" s="27" t="str">
        <f>IF('E-Gilts'!A60&lt;'Adj-Gilts'!$B$10,'E-Gilts'!I60," ")</f>
        <v xml:space="preserve"> </v>
      </c>
      <c r="I60" s="217" t="str">
        <f>IF('E-Gilts'!A60&lt;'Adj-Gilts'!$B$10,'E-Gilts'!A60," ")</f>
        <v xml:space="preserve"> </v>
      </c>
      <c r="J60" s="25" t="str">
        <f>IF('E-Gilts'!A60&lt;'Adj-Gilts'!$B$10,'E-Gilts'!J60," ")</f>
        <v xml:space="preserve"> </v>
      </c>
      <c r="K60" s="27" t="str">
        <f>IF('E-Gilts'!A60&lt;'Adj-Gilts'!$B$10,'E-Gilts'!N60," ")</f>
        <v xml:space="preserve"> </v>
      </c>
      <c r="L60" s="115" t="str">
        <f>IF('E-Gilts'!A60&lt;'Adj-Gilts'!$B$10,'E-Gilts'!K60," ")</f>
        <v xml:space="preserve"> </v>
      </c>
      <c r="M60" t="str">
        <f>IF('E-Gilts'!A60&lt;'Adj-Gilts'!$B$10,'E-Gilts'!M60," ")</f>
        <v xml:space="preserve"> </v>
      </c>
      <c r="N60" s="29" t="str">
        <f>IF('E-Gilts'!A60&lt;'Adj-Gilts'!$B$10,1/L60," ")</f>
        <v xml:space="preserve"> </v>
      </c>
      <c r="O60" s="19"/>
      <c r="P60" s="30" t="str">
        <f t="shared" si="1"/>
        <v/>
      </c>
      <c r="Q60" s="30" t="str">
        <f t="shared" si="2"/>
        <v/>
      </c>
      <c r="R60" s="30" t="str">
        <f t="shared" si="3"/>
        <v/>
      </c>
    </row>
    <row r="61" spans="1:18" x14ac:dyDescent="0.25">
      <c r="A61" s="27" t="str">
        <f>IF('E-Gilts'!A61&lt;'Adj-Gilts'!$B$10,'E-Gilts'!B61," ")</f>
        <v xml:space="preserve"> </v>
      </c>
      <c r="B61" s="25" t="str">
        <f>IF('E-Gilts'!A61&lt;'Adj-Gilts'!$B$10,'E-Gilts'!A61," ")</f>
        <v xml:space="preserve"> </v>
      </c>
      <c r="C61" s="25" t="str">
        <f>IF('E-Gilts'!A61&lt;'Adj-Gilts'!$B$10,'E-Gilts'!C61," ")</f>
        <v xml:space="preserve"> </v>
      </c>
      <c r="D61" s="27" t="str">
        <f>IF('E-Gilts'!A61&lt;'Adj-Gilts'!$B$10,'E-Gilts'!G61," ")</f>
        <v xml:space="preserve"> </v>
      </c>
      <c r="E61" s="26" t="str">
        <f>IF('E-Gilts'!A61&lt;'Adj-Gilts'!$B$10,'E-Gilts'!D61," ")</f>
        <v xml:space="preserve"> </v>
      </c>
      <c r="F61" s="26"/>
      <c r="G61" s="216" t="str">
        <f t="shared" si="0"/>
        <v xml:space="preserve"> </v>
      </c>
      <c r="H61" s="27" t="str">
        <f>IF('E-Gilts'!A61&lt;'Adj-Gilts'!$B$10,'E-Gilts'!I61," ")</f>
        <v xml:space="preserve"> </v>
      </c>
      <c r="I61" s="217" t="str">
        <f>IF('E-Gilts'!A61&lt;'Adj-Gilts'!$B$10,'E-Gilts'!A61," ")</f>
        <v xml:space="preserve"> </v>
      </c>
      <c r="J61" s="25" t="str">
        <f>IF('E-Gilts'!A61&lt;'Adj-Gilts'!$B$10,'E-Gilts'!J61," ")</f>
        <v xml:space="preserve"> </v>
      </c>
      <c r="K61" s="27" t="str">
        <f>IF('E-Gilts'!A61&lt;'Adj-Gilts'!$B$10,'E-Gilts'!N61," ")</f>
        <v xml:space="preserve"> </v>
      </c>
      <c r="L61" s="115" t="str">
        <f>IF('E-Gilts'!A61&lt;'Adj-Gilts'!$B$10,'E-Gilts'!K61," ")</f>
        <v xml:space="preserve"> </v>
      </c>
      <c r="M61" t="str">
        <f>IF('E-Gilts'!A61&lt;'Adj-Gilts'!$B$10,'E-Gilts'!M61," ")</f>
        <v xml:space="preserve"> </v>
      </c>
      <c r="N61" s="29" t="str">
        <f>IF('E-Gilts'!A61&lt;'Adj-Gilts'!$B$10,1/L61," ")</f>
        <v xml:space="preserve"> </v>
      </c>
      <c r="O61" s="19"/>
      <c r="P61" s="30" t="str">
        <f t="shared" si="1"/>
        <v/>
      </c>
      <c r="Q61" s="30" t="str">
        <f t="shared" si="2"/>
        <v/>
      </c>
      <c r="R61" s="30" t="str">
        <f t="shared" si="3"/>
        <v/>
      </c>
    </row>
    <row r="62" spans="1:18" x14ac:dyDescent="0.25">
      <c r="A62" s="27" t="str">
        <f>IF('E-Gilts'!A62&lt;'Adj-Gilts'!$B$10,'E-Gilts'!B62," ")</f>
        <v xml:space="preserve"> </v>
      </c>
      <c r="B62" s="25" t="str">
        <f>IF('E-Gilts'!A62&lt;'Adj-Gilts'!$B$10,'E-Gilts'!A62," ")</f>
        <v xml:space="preserve"> </v>
      </c>
      <c r="C62" s="25" t="str">
        <f>IF('E-Gilts'!A62&lt;'Adj-Gilts'!$B$10,'E-Gilts'!C62," ")</f>
        <v xml:space="preserve"> </v>
      </c>
      <c r="D62" s="27" t="str">
        <f>IF('E-Gilts'!A62&lt;'Adj-Gilts'!$B$10,'E-Gilts'!G62," ")</f>
        <v xml:space="preserve"> </v>
      </c>
      <c r="E62" s="26" t="str">
        <f>IF('E-Gilts'!A62&lt;'Adj-Gilts'!$B$10,'E-Gilts'!D62," ")</f>
        <v xml:space="preserve"> </v>
      </c>
      <c r="F62" s="26"/>
      <c r="G62" s="216" t="str">
        <f t="shared" si="0"/>
        <v xml:space="preserve"> </v>
      </c>
      <c r="H62" s="27" t="str">
        <f>IF('E-Gilts'!A62&lt;'Adj-Gilts'!$B$10,'E-Gilts'!I62," ")</f>
        <v xml:space="preserve"> </v>
      </c>
      <c r="I62" s="217" t="str">
        <f>IF('E-Gilts'!A62&lt;'Adj-Gilts'!$B$10,'E-Gilts'!A62," ")</f>
        <v xml:space="preserve"> </v>
      </c>
      <c r="J62" s="25" t="str">
        <f>IF('E-Gilts'!A62&lt;'Adj-Gilts'!$B$10,'E-Gilts'!J62," ")</f>
        <v xml:space="preserve"> </v>
      </c>
      <c r="K62" s="27" t="str">
        <f>IF('E-Gilts'!A62&lt;'Adj-Gilts'!$B$10,'E-Gilts'!N62," ")</f>
        <v xml:space="preserve"> </v>
      </c>
      <c r="L62" s="115" t="str">
        <f>IF('E-Gilts'!A62&lt;'Adj-Gilts'!$B$10,'E-Gilts'!K62," ")</f>
        <v xml:space="preserve"> </v>
      </c>
      <c r="M62" t="str">
        <f>IF('E-Gilts'!A62&lt;'Adj-Gilts'!$B$10,'E-Gilts'!M62," ")</f>
        <v xml:space="preserve"> </v>
      </c>
      <c r="N62" s="29" t="str">
        <f>IF('E-Gilts'!A62&lt;'Adj-Gilts'!$B$10,1/L62," ")</f>
        <v xml:space="preserve"> </v>
      </c>
      <c r="O62" s="19"/>
      <c r="P62" s="30" t="str">
        <f t="shared" si="1"/>
        <v/>
      </c>
      <c r="Q62" s="30" t="str">
        <f t="shared" si="2"/>
        <v/>
      </c>
      <c r="R62" s="30" t="str">
        <f t="shared" si="3"/>
        <v/>
      </c>
    </row>
    <row r="63" spans="1:18" x14ac:dyDescent="0.25">
      <c r="A63" s="27" t="str">
        <f>IF('E-Gilts'!A63&lt;'Adj-Gilts'!$B$10,'E-Gilts'!B63," ")</f>
        <v xml:space="preserve"> </v>
      </c>
      <c r="B63" s="25" t="str">
        <f>IF('E-Gilts'!A63&lt;'Adj-Gilts'!$B$10,'E-Gilts'!A63," ")</f>
        <v xml:space="preserve"> </v>
      </c>
      <c r="C63" s="25" t="str">
        <f>IF('E-Gilts'!A63&lt;'Adj-Gilts'!$B$10,'E-Gilts'!C63," ")</f>
        <v xml:space="preserve"> </v>
      </c>
      <c r="D63" s="27" t="str">
        <f>IF('E-Gilts'!A63&lt;'Adj-Gilts'!$B$10,'E-Gilts'!G63," ")</f>
        <v xml:space="preserve"> </v>
      </c>
      <c r="E63" s="26" t="str">
        <f>IF('E-Gilts'!A63&lt;'Adj-Gilts'!$B$10,'E-Gilts'!D63," ")</f>
        <v xml:space="preserve"> </v>
      </c>
      <c r="F63" s="26"/>
      <c r="G63" s="216" t="str">
        <f t="shared" si="0"/>
        <v xml:space="preserve"> </v>
      </c>
      <c r="H63" s="27" t="str">
        <f>IF('E-Gilts'!A63&lt;'Adj-Gilts'!$B$10,'E-Gilts'!I63," ")</f>
        <v xml:space="preserve"> </v>
      </c>
      <c r="I63" s="217" t="str">
        <f>IF('E-Gilts'!A63&lt;'Adj-Gilts'!$B$10,'E-Gilts'!A63," ")</f>
        <v xml:space="preserve"> </v>
      </c>
      <c r="J63" s="25" t="str">
        <f>IF('E-Gilts'!A63&lt;'Adj-Gilts'!$B$10,'E-Gilts'!J63," ")</f>
        <v xml:space="preserve"> </v>
      </c>
      <c r="K63" s="27" t="str">
        <f>IF('E-Gilts'!A63&lt;'Adj-Gilts'!$B$10,'E-Gilts'!N63," ")</f>
        <v xml:space="preserve"> </v>
      </c>
      <c r="L63" s="115" t="str">
        <f>IF('E-Gilts'!A63&lt;'Adj-Gilts'!$B$10,'E-Gilts'!K63," ")</f>
        <v xml:space="preserve"> </v>
      </c>
      <c r="M63" t="str">
        <f>IF('E-Gilts'!A63&lt;'Adj-Gilts'!$B$10,'E-Gilts'!M63," ")</f>
        <v xml:space="preserve"> </v>
      </c>
      <c r="N63" s="29" t="str">
        <f>IF('E-Gilts'!A63&lt;'Adj-Gilts'!$B$10,1/L63," ")</f>
        <v xml:space="preserve"> </v>
      </c>
      <c r="O63" s="19"/>
      <c r="P63" s="30" t="str">
        <f t="shared" si="1"/>
        <v/>
      </c>
      <c r="Q63" s="30" t="str">
        <f t="shared" si="2"/>
        <v/>
      </c>
      <c r="R63" s="30" t="str">
        <f t="shared" si="3"/>
        <v/>
      </c>
    </row>
    <row r="64" spans="1:18" x14ac:dyDescent="0.25">
      <c r="A64" s="27" t="str">
        <f>IF('E-Gilts'!A64&lt;'Adj-Gilts'!$B$10,'E-Gilts'!B64," ")</f>
        <v xml:space="preserve"> </v>
      </c>
      <c r="B64" s="25" t="str">
        <f>IF('E-Gilts'!A64&lt;'Adj-Gilts'!$B$10,'E-Gilts'!A64," ")</f>
        <v xml:space="preserve"> </v>
      </c>
      <c r="C64" s="25" t="str">
        <f>IF('E-Gilts'!A64&lt;'Adj-Gilts'!$B$10,'E-Gilts'!C64," ")</f>
        <v xml:space="preserve"> </v>
      </c>
      <c r="D64" s="27" t="str">
        <f>IF('E-Gilts'!A64&lt;'Adj-Gilts'!$B$10,'E-Gilts'!G64," ")</f>
        <v xml:space="preserve"> </v>
      </c>
      <c r="E64" s="26" t="str">
        <f>IF('E-Gilts'!A64&lt;'Adj-Gilts'!$B$10,'E-Gilts'!D64," ")</f>
        <v xml:space="preserve"> </v>
      </c>
      <c r="F64" s="26"/>
      <c r="G64" s="216" t="str">
        <f t="shared" si="0"/>
        <v xml:space="preserve"> </v>
      </c>
      <c r="H64" s="27" t="str">
        <f>IF('E-Gilts'!A64&lt;'Adj-Gilts'!$B$10,'E-Gilts'!I64," ")</f>
        <v xml:space="preserve"> </v>
      </c>
      <c r="I64" s="217" t="str">
        <f>IF('E-Gilts'!A64&lt;'Adj-Gilts'!$B$10,'E-Gilts'!A64," ")</f>
        <v xml:space="preserve"> </v>
      </c>
      <c r="J64" s="25" t="str">
        <f>IF('E-Gilts'!A64&lt;'Adj-Gilts'!$B$10,'E-Gilts'!J64," ")</f>
        <v xml:space="preserve"> </v>
      </c>
      <c r="K64" s="27" t="str">
        <f>IF('E-Gilts'!A64&lt;'Adj-Gilts'!$B$10,'E-Gilts'!N64," ")</f>
        <v xml:space="preserve"> </v>
      </c>
      <c r="L64" s="115" t="str">
        <f>IF('E-Gilts'!A64&lt;'Adj-Gilts'!$B$10,'E-Gilts'!K64," ")</f>
        <v xml:space="preserve"> </v>
      </c>
      <c r="M64" t="str">
        <f>IF('E-Gilts'!A64&lt;'Adj-Gilts'!$B$10,'E-Gilts'!M64," ")</f>
        <v xml:space="preserve"> </v>
      </c>
      <c r="N64" s="29" t="str">
        <f>IF('E-Gilts'!A64&lt;'Adj-Gilts'!$B$10,1/L64," ")</f>
        <v xml:space="preserve"> </v>
      </c>
      <c r="O64" s="19"/>
      <c r="P64" s="30" t="str">
        <f t="shared" si="1"/>
        <v/>
      </c>
      <c r="Q64" s="30" t="str">
        <f t="shared" si="2"/>
        <v/>
      </c>
      <c r="R64" s="30" t="str">
        <f t="shared" si="3"/>
        <v/>
      </c>
    </row>
    <row r="65" spans="1:18" x14ac:dyDescent="0.25">
      <c r="A65" s="27" t="str">
        <f>IF('E-Gilts'!A65&lt;'Adj-Gilts'!$B$10,'E-Gilts'!B65," ")</f>
        <v xml:space="preserve"> </v>
      </c>
      <c r="B65" s="25" t="str">
        <f>IF('E-Gilts'!A65&lt;'Adj-Gilts'!$B$10,'E-Gilts'!A65," ")</f>
        <v xml:space="preserve"> </v>
      </c>
      <c r="C65" s="25" t="str">
        <f>IF('E-Gilts'!A65&lt;'Adj-Gilts'!$B$10,'E-Gilts'!C65," ")</f>
        <v xml:space="preserve"> </v>
      </c>
      <c r="D65" s="27" t="str">
        <f>IF('E-Gilts'!A65&lt;'Adj-Gilts'!$B$10,'E-Gilts'!G65," ")</f>
        <v xml:space="preserve"> </v>
      </c>
      <c r="E65" s="26" t="str">
        <f>IF('E-Gilts'!A65&lt;'Adj-Gilts'!$B$10,'E-Gilts'!D65," ")</f>
        <v xml:space="preserve"> </v>
      </c>
      <c r="F65" s="26"/>
      <c r="G65" s="216" t="str">
        <f t="shared" si="0"/>
        <v xml:space="preserve"> </v>
      </c>
      <c r="H65" s="27" t="str">
        <f>IF('E-Gilts'!A65&lt;'Adj-Gilts'!$B$10,'E-Gilts'!I65," ")</f>
        <v xml:space="preserve"> </v>
      </c>
      <c r="I65" s="217" t="str">
        <f>IF('E-Gilts'!A65&lt;'Adj-Gilts'!$B$10,'E-Gilts'!A65," ")</f>
        <v xml:space="preserve"> </v>
      </c>
      <c r="J65" s="25" t="str">
        <f>IF('E-Gilts'!A65&lt;'Adj-Gilts'!$B$10,'E-Gilts'!J65," ")</f>
        <v xml:space="preserve"> </v>
      </c>
      <c r="K65" s="27" t="str">
        <f>IF('E-Gilts'!A65&lt;'Adj-Gilts'!$B$10,'E-Gilts'!N65," ")</f>
        <v xml:space="preserve"> </v>
      </c>
      <c r="L65" s="115" t="str">
        <f>IF('E-Gilts'!A65&lt;'Adj-Gilts'!$B$10,'E-Gilts'!K65," ")</f>
        <v xml:space="preserve"> </v>
      </c>
      <c r="M65" t="str">
        <f>IF('E-Gilts'!A65&lt;'Adj-Gilts'!$B$10,'E-Gilts'!M65," ")</f>
        <v xml:space="preserve"> </v>
      </c>
      <c r="N65" s="29" t="str">
        <f>IF('E-Gilts'!A65&lt;'Adj-Gilts'!$B$10,1/L65," ")</f>
        <v xml:space="preserve"> </v>
      </c>
      <c r="O65" s="19"/>
      <c r="P65" s="30" t="str">
        <f t="shared" si="1"/>
        <v/>
      </c>
      <c r="Q65" s="30" t="str">
        <f t="shared" si="2"/>
        <v/>
      </c>
      <c r="R65" s="30" t="str">
        <f t="shared" si="3"/>
        <v/>
      </c>
    </row>
    <row r="66" spans="1:18" x14ac:dyDescent="0.25">
      <c r="A66" s="27" t="str">
        <f>IF('E-Gilts'!A66&lt;'Adj-Gilts'!$B$10,'E-Gilts'!B66," ")</f>
        <v xml:space="preserve"> </v>
      </c>
      <c r="B66" s="25" t="str">
        <f>IF('E-Gilts'!A66&lt;'Adj-Gilts'!$B$10,'E-Gilts'!A66," ")</f>
        <v xml:space="preserve"> </v>
      </c>
      <c r="C66" s="25" t="str">
        <f>IF('E-Gilts'!A66&lt;'Adj-Gilts'!$B$10,'E-Gilts'!C66," ")</f>
        <v xml:space="preserve"> </v>
      </c>
      <c r="D66" s="27" t="str">
        <f>IF('E-Gilts'!A66&lt;'Adj-Gilts'!$B$10,'E-Gilts'!G66," ")</f>
        <v xml:space="preserve"> </v>
      </c>
      <c r="E66" s="26" t="str">
        <f>IF('E-Gilts'!A66&lt;'Adj-Gilts'!$B$10,'E-Gilts'!D66," ")</f>
        <v xml:space="preserve"> </v>
      </c>
      <c r="F66" s="26"/>
      <c r="G66" s="216" t="str">
        <f t="shared" si="0"/>
        <v xml:space="preserve"> </v>
      </c>
      <c r="H66" s="27" t="str">
        <f>IF('E-Gilts'!A66&lt;'Adj-Gilts'!$B$10,'E-Gilts'!I66," ")</f>
        <v xml:space="preserve"> </v>
      </c>
      <c r="I66" s="217" t="str">
        <f>IF('E-Gilts'!A66&lt;'Adj-Gilts'!$B$10,'E-Gilts'!A66," ")</f>
        <v xml:space="preserve"> </v>
      </c>
      <c r="J66" s="25" t="str">
        <f>IF('E-Gilts'!A66&lt;'Adj-Gilts'!$B$10,'E-Gilts'!J66," ")</f>
        <v xml:space="preserve"> </v>
      </c>
      <c r="K66" s="27" t="str">
        <f>IF('E-Gilts'!A66&lt;'Adj-Gilts'!$B$10,'E-Gilts'!N66," ")</f>
        <v xml:space="preserve"> </v>
      </c>
      <c r="L66" s="115" t="str">
        <f>IF('E-Gilts'!A66&lt;'Adj-Gilts'!$B$10,'E-Gilts'!K66," ")</f>
        <v xml:space="preserve"> </v>
      </c>
      <c r="M66" t="str">
        <f>IF('E-Gilts'!A66&lt;'Adj-Gilts'!$B$10,'E-Gilts'!M66," ")</f>
        <v xml:space="preserve"> </v>
      </c>
      <c r="N66" s="29" t="str">
        <f>IF('E-Gilts'!A66&lt;'Adj-Gilts'!$B$10,1/L66," ")</f>
        <v xml:space="preserve"> </v>
      </c>
      <c r="O66" s="19"/>
      <c r="P66" s="30" t="str">
        <f t="shared" si="1"/>
        <v/>
      </c>
      <c r="Q66" s="30" t="str">
        <f t="shared" si="2"/>
        <v/>
      </c>
      <c r="R66" s="30" t="str">
        <f t="shared" si="3"/>
        <v/>
      </c>
    </row>
    <row r="67" spans="1:18" x14ac:dyDescent="0.25">
      <c r="A67" s="27" t="str">
        <f>IF('E-Gilts'!A67&lt;'Adj-Gilts'!$B$10,'E-Gilts'!B67," ")</f>
        <v xml:space="preserve"> </v>
      </c>
      <c r="B67" s="25" t="str">
        <f>IF('E-Gilts'!A67&lt;'Adj-Gilts'!$B$10,'E-Gilts'!A67," ")</f>
        <v xml:space="preserve"> </v>
      </c>
      <c r="C67" s="25" t="str">
        <f>IF('E-Gilts'!A67&lt;'Adj-Gilts'!$B$10,'E-Gilts'!C67," ")</f>
        <v xml:space="preserve"> </v>
      </c>
      <c r="D67" s="27" t="str">
        <f>IF('E-Gilts'!A67&lt;'Adj-Gilts'!$B$10,'E-Gilts'!G67," ")</f>
        <v xml:space="preserve"> </v>
      </c>
      <c r="E67" s="26" t="str">
        <f>IF('E-Gilts'!A67&lt;'Adj-Gilts'!$B$10,'E-Gilts'!D67," ")</f>
        <v xml:space="preserve"> </v>
      </c>
      <c r="F67" s="26"/>
      <c r="G67" s="216" t="str">
        <f t="shared" si="0"/>
        <v xml:space="preserve"> </v>
      </c>
      <c r="H67" s="27" t="str">
        <f>IF('E-Gilts'!A67&lt;'Adj-Gilts'!$B$10,'E-Gilts'!I67," ")</f>
        <v xml:space="preserve"> </v>
      </c>
      <c r="I67" s="217" t="str">
        <f>IF('E-Gilts'!A67&lt;'Adj-Gilts'!$B$10,'E-Gilts'!A67," ")</f>
        <v xml:space="preserve"> </v>
      </c>
      <c r="J67" s="25" t="str">
        <f>IF('E-Gilts'!A67&lt;'Adj-Gilts'!$B$10,'E-Gilts'!J67," ")</f>
        <v xml:space="preserve"> </v>
      </c>
      <c r="K67" s="27" t="str">
        <f>IF('E-Gilts'!A67&lt;'Adj-Gilts'!$B$10,'E-Gilts'!N67," ")</f>
        <v xml:space="preserve"> </v>
      </c>
      <c r="L67" s="115" t="str">
        <f>IF('E-Gilts'!A67&lt;'Adj-Gilts'!$B$10,'E-Gilts'!K67," ")</f>
        <v xml:space="preserve"> </v>
      </c>
      <c r="M67" t="str">
        <f>IF('E-Gilts'!A67&lt;'Adj-Gilts'!$B$10,'E-Gilts'!M67," ")</f>
        <v xml:space="preserve"> </v>
      </c>
      <c r="N67" s="29" t="str">
        <f>IF('E-Gilts'!A67&lt;'Adj-Gilts'!$B$10,1/L67," ")</f>
        <v xml:space="preserve"> </v>
      </c>
      <c r="O67" s="19"/>
      <c r="P67" s="30" t="str">
        <f t="shared" si="1"/>
        <v/>
      </c>
      <c r="Q67" s="30" t="str">
        <f t="shared" si="2"/>
        <v/>
      </c>
      <c r="R67" s="30" t="str">
        <f t="shared" si="3"/>
        <v/>
      </c>
    </row>
    <row r="68" spans="1:18" x14ac:dyDescent="0.25">
      <c r="A68" s="27" t="str">
        <f>IF('E-Gilts'!A68&lt;'Adj-Gilts'!$B$10,'E-Gilts'!B68," ")</f>
        <v xml:space="preserve"> </v>
      </c>
      <c r="B68" s="25" t="str">
        <f>IF('E-Gilts'!A68&lt;'Adj-Gilts'!$B$10,'E-Gilts'!A68," ")</f>
        <v xml:space="preserve"> </v>
      </c>
      <c r="C68" s="25" t="str">
        <f>IF('E-Gilts'!A68&lt;'Adj-Gilts'!$B$10,'E-Gilts'!C68," ")</f>
        <v xml:space="preserve"> </v>
      </c>
      <c r="D68" s="27" t="str">
        <f>IF('E-Gilts'!A68&lt;'Adj-Gilts'!$B$10,'E-Gilts'!G68," ")</f>
        <v xml:space="preserve"> </v>
      </c>
      <c r="E68" s="26" t="str">
        <f>IF('E-Gilts'!A68&lt;'Adj-Gilts'!$B$10,'E-Gilts'!D68," ")</f>
        <v xml:space="preserve"> </v>
      </c>
      <c r="F68" s="26"/>
      <c r="G68" s="216" t="str">
        <f t="shared" ref="G68:G131" si="4">IFERROR(I68,"")</f>
        <v xml:space="preserve"> </v>
      </c>
      <c r="H68" s="27" t="str">
        <f>IF('E-Gilts'!A68&lt;'Adj-Gilts'!$B$10,'E-Gilts'!I68," ")</f>
        <v xml:space="preserve"> </v>
      </c>
      <c r="I68" s="217" t="str">
        <f>IF('E-Gilts'!A68&lt;'Adj-Gilts'!$B$10,'E-Gilts'!A68," ")</f>
        <v xml:space="preserve"> </v>
      </c>
      <c r="J68" s="25" t="str">
        <f>IF('E-Gilts'!A68&lt;'Adj-Gilts'!$B$10,'E-Gilts'!J68," ")</f>
        <v xml:space="preserve"> </v>
      </c>
      <c r="K68" s="27" t="str">
        <f>IF('E-Gilts'!A68&lt;'Adj-Gilts'!$B$10,'E-Gilts'!N68," ")</f>
        <v xml:space="preserve"> </v>
      </c>
      <c r="L68" s="115" t="str">
        <f>IF('E-Gilts'!A68&lt;'Adj-Gilts'!$B$10,'E-Gilts'!K68," ")</f>
        <v xml:space="preserve"> </v>
      </c>
      <c r="M68" t="str">
        <f>IF('E-Gilts'!A68&lt;'Adj-Gilts'!$B$10,'E-Gilts'!M68," ")</f>
        <v xml:space="preserve"> </v>
      </c>
      <c r="N68" s="29" t="str">
        <f>IF('E-Gilts'!A68&lt;'Adj-Gilts'!$B$10,1/L68," ")</f>
        <v xml:space="preserve"> </v>
      </c>
      <c r="O68" s="19"/>
      <c r="P68" s="30" t="str">
        <f t="shared" si="1"/>
        <v/>
      </c>
      <c r="Q68" s="30" t="str">
        <f t="shared" si="2"/>
        <v/>
      </c>
      <c r="R68" s="30" t="str">
        <f t="shared" si="3"/>
        <v/>
      </c>
    </row>
    <row r="69" spans="1:18" x14ac:dyDescent="0.25">
      <c r="A69" s="27" t="str">
        <f>IF('E-Gilts'!A69&lt;'Adj-Gilts'!$B$10,'E-Gilts'!B69," ")</f>
        <v xml:space="preserve"> </v>
      </c>
      <c r="B69" s="25" t="str">
        <f>IF('E-Gilts'!A69&lt;'Adj-Gilts'!$B$10,'E-Gilts'!A69," ")</f>
        <v xml:space="preserve"> </v>
      </c>
      <c r="C69" s="25" t="str">
        <f>IF('E-Gilts'!A69&lt;'Adj-Gilts'!$B$10,'E-Gilts'!C69," ")</f>
        <v xml:space="preserve"> </v>
      </c>
      <c r="D69" s="27" t="str">
        <f>IF('E-Gilts'!A69&lt;'Adj-Gilts'!$B$10,'E-Gilts'!G69," ")</f>
        <v xml:space="preserve"> </v>
      </c>
      <c r="E69" s="26" t="str">
        <f>IF('E-Gilts'!A69&lt;'Adj-Gilts'!$B$10,'E-Gilts'!D69," ")</f>
        <v xml:space="preserve"> </v>
      </c>
      <c r="F69" s="26"/>
      <c r="G69" s="216" t="str">
        <f t="shared" si="4"/>
        <v xml:space="preserve"> </v>
      </c>
      <c r="H69" s="27" t="str">
        <f>IF('E-Gilts'!A69&lt;'Adj-Gilts'!$B$10,'E-Gilts'!I69," ")</f>
        <v xml:space="preserve"> </v>
      </c>
      <c r="I69" s="217" t="str">
        <f>IF('E-Gilts'!A69&lt;'Adj-Gilts'!$B$10,'E-Gilts'!A69," ")</f>
        <v xml:space="preserve"> </v>
      </c>
      <c r="J69" s="25" t="str">
        <f>IF('E-Gilts'!A69&lt;'Adj-Gilts'!$B$10,'E-Gilts'!J69," ")</f>
        <v xml:space="preserve"> </v>
      </c>
      <c r="K69" s="27" t="str">
        <f>IF('E-Gilts'!A69&lt;'Adj-Gilts'!$B$10,'E-Gilts'!N69," ")</f>
        <v xml:space="preserve"> </v>
      </c>
      <c r="L69" s="115" t="str">
        <f>IF('E-Gilts'!A69&lt;'Adj-Gilts'!$B$10,'E-Gilts'!K69," ")</f>
        <v xml:space="preserve"> </v>
      </c>
      <c r="M69" t="str">
        <f>IF('E-Gilts'!A69&lt;'Adj-Gilts'!$B$10,'E-Gilts'!M69," ")</f>
        <v xml:space="preserve"> </v>
      </c>
      <c r="N69" s="29" t="str">
        <f>IF('E-Gilts'!A69&lt;'Adj-Gilts'!$B$10,1/L69," ")</f>
        <v xml:space="preserve"> </v>
      </c>
      <c r="O69" s="19"/>
      <c r="P69" s="30" t="str">
        <f t="shared" ref="P69:P132" si="5">IFERROR(IF(J69&lt;0,"",CONVERT(J69,"g", "lbm")),"")</f>
        <v/>
      </c>
      <c r="Q69" s="30" t="str">
        <f t="shared" ref="Q69:Q132" si="6">IFERROR(IF(M69&lt;0,"",CONVERT(M69,"kg", "lbm")),"")</f>
        <v/>
      </c>
      <c r="R69" s="30" t="str">
        <f t="shared" ref="R69:R132" si="7">IFERROR(IF(H69&lt;0,"",CONVERT(H69,"kg", "lbm")),"")</f>
        <v/>
      </c>
    </row>
    <row r="70" spans="1:18" x14ac:dyDescent="0.25">
      <c r="A70" s="27" t="str">
        <f>IF('E-Gilts'!A70&lt;'Adj-Gilts'!$B$10,'E-Gilts'!B70," ")</f>
        <v xml:space="preserve"> </v>
      </c>
      <c r="B70" s="25" t="str">
        <f>IF('E-Gilts'!A70&lt;'Adj-Gilts'!$B$10,'E-Gilts'!A70," ")</f>
        <v xml:space="preserve"> </v>
      </c>
      <c r="C70" s="25" t="str">
        <f>IF('E-Gilts'!A70&lt;'Adj-Gilts'!$B$10,'E-Gilts'!C70," ")</f>
        <v xml:space="preserve"> </v>
      </c>
      <c r="D70" s="27" t="str">
        <f>IF('E-Gilts'!A70&lt;'Adj-Gilts'!$B$10,'E-Gilts'!G70," ")</f>
        <v xml:space="preserve"> </v>
      </c>
      <c r="E70" s="26" t="str">
        <f>IF('E-Gilts'!A70&lt;'Adj-Gilts'!$B$10,'E-Gilts'!D70," ")</f>
        <v xml:space="preserve"> </v>
      </c>
      <c r="F70" s="26"/>
      <c r="G70" s="216" t="str">
        <f t="shared" si="4"/>
        <v xml:space="preserve"> </v>
      </c>
      <c r="H70" s="27" t="str">
        <f>IF('E-Gilts'!A70&lt;'Adj-Gilts'!$B$10,'E-Gilts'!I70," ")</f>
        <v xml:space="preserve"> </v>
      </c>
      <c r="I70" s="217" t="str">
        <f>IF('E-Gilts'!A70&lt;'Adj-Gilts'!$B$10,'E-Gilts'!A70," ")</f>
        <v xml:space="preserve"> </v>
      </c>
      <c r="J70" s="25" t="str">
        <f>IF('E-Gilts'!A70&lt;'Adj-Gilts'!$B$10,'E-Gilts'!J70," ")</f>
        <v xml:space="preserve"> </v>
      </c>
      <c r="K70" s="27" t="str">
        <f>IF('E-Gilts'!A70&lt;'Adj-Gilts'!$B$10,'E-Gilts'!N70," ")</f>
        <v xml:space="preserve"> </v>
      </c>
      <c r="L70" s="115" t="str">
        <f>IF('E-Gilts'!A70&lt;'Adj-Gilts'!$B$10,'E-Gilts'!K70," ")</f>
        <v xml:space="preserve"> </v>
      </c>
      <c r="M70" t="str">
        <f>IF('E-Gilts'!A70&lt;'Adj-Gilts'!$B$10,'E-Gilts'!M70," ")</f>
        <v xml:space="preserve"> </v>
      </c>
      <c r="N70" s="29" t="str">
        <f>IF('E-Gilts'!A70&lt;'Adj-Gilts'!$B$10,1/L70," ")</f>
        <v xml:space="preserve"> </v>
      </c>
      <c r="O70" s="19"/>
      <c r="P70" s="30" t="str">
        <f t="shared" si="5"/>
        <v/>
      </c>
      <c r="Q70" s="30" t="str">
        <f t="shared" si="6"/>
        <v/>
      </c>
      <c r="R70" s="30" t="str">
        <f t="shared" si="7"/>
        <v/>
      </c>
    </row>
    <row r="71" spans="1:18" x14ac:dyDescent="0.25">
      <c r="A71" s="27" t="str">
        <f>IF('E-Gilts'!A71&lt;'Adj-Gilts'!$B$10,'E-Gilts'!B71," ")</f>
        <v xml:space="preserve"> </v>
      </c>
      <c r="B71" s="25" t="str">
        <f>IF('E-Gilts'!A71&lt;'Adj-Gilts'!$B$10,'E-Gilts'!A71," ")</f>
        <v xml:space="preserve"> </v>
      </c>
      <c r="C71" s="25" t="str">
        <f>IF('E-Gilts'!A71&lt;'Adj-Gilts'!$B$10,'E-Gilts'!C71," ")</f>
        <v xml:space="preserve"> </v>
      </c>
      <c r="D71" s="27" t="str">
        <f>IF('E-Gilts'!A71&lt;'Adj-Gilts'!$B$10,'E-Gilts'!G71," ")</f>
        <v xml:space="preserve"> </v>
      </c>
      <c r="E71" s="26" t="str">
        <f>IF('E-Gilts'!A71&lt;'Adj-Gilts'!$B$10,'E-Gilts'!D71," ")</f>
        <v xml:space="preserve"> </v>
      </c>
      <c r="F71" s="26"/>
      <c r="G71" s="216" t="str">
        <f t="shared" si="4"/>
        <v xml:space="preserve"> </v>
      </c>
      <c r="H71" s="27" t="str">
        <f>IF('E-Gilts'!A71&lt;'Adj-Gilts'!$B$10,'E-Gilts'!I71," ")</f>
        <v xml:space="preserve"> </v>
      </c>
      <c r="I71" s="217" t="str">
        <f>IF('E-Gilts'!A71&lt;'Adj-Gilts'!$B$10,'E-Gilts'!A71," ")</f>
        <v xml:space="preserve"> </v>
      </c>
      <c r="J71" s="25" t="str">
        <f>IF('E-Gilts'!A71&lt;'Adj-Gilts'!$B$10,'E-Gilts'!J71," ")</f>
        <v xml:space="preserve"> </v>
      </c>
      <c r="K71" s="27" t="str">
        <f>IF('E-Gilts'!A71&lt;'Adj-Gilts'!$B$10,'E-Gilts'!N71," ")</f>
        <v xml:space="preserve"> </v>
      </c>
      <c r="L71" s="115" t="str">
        <f>IF('E-Gilts'!A71&lt;'Adj-Gilts'!$B$10,'E-Gilts'!K71," ")</f>
        <v xml:space="preserve"> </v>
      </c>
      <c r="M71" t="str">
        <f>IF('E-Gilts'!A71&lt;'Adj-Gilts'!$B$10,'E-Gilts'!M71," ")</f>
        <v xml:space="preserve"> </v>
      </c>
      <c r="N71" s="29" t="str">
        <f>IF('E-Gilts'!A71&lt;'Adj-Gilts'!$B$10,1/L71," ")</f>
        <v xml:space="preserve"> </v>
      </c>
      <c r="O71" s="19"/>
      <c r="P71" s="30" t="str">
        <f t="shared" si="5"/>
        <v/>
      </c>
      <c r="Q71" s="30" t="str">
        <f t="shared" si="6"/>
        <v/>
      </c>
      <c r="R71" s="30" t="str">
        <f t="shared" si="7"/>
        <v/>
      </c>
    </row>
    <row r="72" spans="1:18" x14ac:dyDescent="0.25">
      <c r="A72" s="27" t="str">
        <f>IF('E-Gilts'!A72&lt;'Adj-Gilts'!$B$10,'E-Gilts'!B72," ")</f>
        <v xml:space="preserve"> </v>
      </c>
      <c r="B72" s="25" t="str">
        <f>IF('E-Gilts'!A72&lt;'Adj-Gilts'!$B$10,'E-Gilts'!A72," ")</f>
        <v xml:space="preserve"> </v>
      </c>
      <c r="C72" s="25" t="str">
        <f>IF('E-Gilts'!A72&lt;'Adj-Gilts'!$B$10,'E-Gilts'!C72," ")</f>
        <v xml:space="preserve"> </v>
      </c>
      <c r="D72" s="27" t="str">
        <f>IF('E-Gilts'!A72&lt;'Adj-Gilts'!$B$10,'E-Gilts'!G72," ")</f>
        <v xml:space="preserve"> </v>
      </c>
      <c r="E72" s="26" t="str">
        <f>IF('E-Gilts'!A72&lt;'Adj-Gilts'!$B$10,'E-Gilts'!D72," ")</f>
        <v xml:space="preserve"> </v>
      </c>
      <c r="F72" s="26"/>
      <c r="G72" s="216" t="str">
        <f t="shared" si="4"/>
        <v xml:space="preserve"> </v>
      </c>
      <c r="H72" s="27" t="str">
        <f>IF('E-Gilts'!A72&lt;'Adj-Gilts'!$B$10,'E-Gilts'!I72," ")</f>
        <v xml:space="preserve"> </v>
      </c>
      <c r="I72" s="217" t="str">
        <f>IF('E-Gilts'!A72&lt;'Adj-Gilts'!$B$10,'E-Gilts'!A72," ")</f>
        <v xml:space="preserve"> </v>
      </c>
      <c r="J72" s="25" t="str">
        <f>IF('E-Gilts'!A72&lt;'Adj-Gilts'!$B$10,'E-Gilts'!J72," ")</f>
        <v xml:space="preserve"> </v>
      </c>
      <c r="K72" s="27" t="str">
        <f>IF('E-Gilts'!A72&lt;'Adj-Gilts'!$B$10,'E-Gilts'!N72," ")</f>
        <v xml:space="preserve"> </v>
      </c>
      <c r="L72" s="115" t="str">
        <f>IF('E-Gilts'!A72&lt;'Adj-Gilts'!$B$10,'E-Gilts'!K72," ")</f>
        <v xml:space="preserve"> </v>
      </c>
      <c r="M72" t="str">
        <f>IF('E-Gilts'!A72&lt;'Adj-Gilts'!$B$10,'E-Gilts'!M72," ")</f>
        <v xml:space="preserve"> </v>
      </c>
      <c r="N72" s="29" t="str">
        <f>IF('E-Gilts'!A72&lt;'Adj-Gilts'!$B$10,1/L72," ")</f>
        <v xml:space="preserve"> </v>
      </c>
      <c r="O72" s="19"/>
      <c r="P72" s="30" t="str">
        <f t="shared" si="5"/>
        <v/>
      </c>
      <c r="Q72" s="30" t="str">
        <f t="shared" si="6"/>
        <v/>
      </c>
      <c r="R72" s="30" t="str">
        <f t="shared" si="7"/>
        <v/>
      </c>
    </row>
    <row r="73" spans="1:18" x14ac:dyDescent="0.25">
      <c r="A73" s="27" t="str">
        <f>IF('E-Gilts'!A73&lt;'Adj-Gilts'!$B$10,'E-Gilts'!B73," ")</f>
        <v xml:space="preserve"> </v>
      </c>
      <c r="B73" s="25" t="str">
        <f>IF('E-Gilts'!A73&lt;'Adj-Gilts'!$B$10,'E-Gilts'!A73," ")</f>
        <v xml:space="preserve"> </v>
      </c>
      <c r="C73" s="25" t="str">
        <f>IF('E-Gilts'!A73&lt;'Adj-Gilts'!$B$10,'E-Gilts'!C73," ")</f>
        <v xml:space="preserve"> </v>
      </c>
      <c r="D73" s="27" t="str">
        <f>IF('E-Gilts'!A73&lt;'Adj-Gilts'!$B$10,'E-Gilts'!G73," ")</f>
        <v xml:space="preserve"> </v>
      </c>
      <c r="E73" s="26" t="str">
        <f>IF('E-Gilts'!A73&lt;'Adj-Gilts'!$B$10,'E-Gilts'!D73," ")</f>
        <v xml:space="preserve"> </v>
      </c>
      <c r="F73" s="26"/>
      <c r="G73" s="216" t="str">
        <f t="shared" si="4"/>
        <v xml:space="preserve"> </v>
      </c>
      <c r="H73" s="27" t="str">
        <f>IF('E-Gilts'!A73&lt;'Adj-Gilts'!$B$10,'E-Gilts'!I73," ")</f>
        <v xml:space="preserve"> </v>
      </c>
      <c r="I73" s="217" t="str">
        <f>IF('E-Gilts'!A73&lt;'Adj-Gilts'!$B$10,'E-Gilts'!A73," ")</f>
        <v xml:space="preserve"> </v>
      </c>
      <c r="J73" s="25" t="str">
        <f>IF('E-Gilts'!A73&lt;'Adj-Gilts'!$B$10,'E-Gilts'!J73," ")</f>
        <v xml:space="preserve"> </v>
      </c>
      <c r="K73" s="27" t="str">
        <f>IF('E-Gilts'!A73&lt;'Adj-Gilts'!$B$10,'E-Gilts'!N73," ")</f>
        <v xml:space="preserve"> </v>
      </c>
      <c r="L73" s="115" t="str">
        <f>IF('E-Gilts'!A73&lt;'Adj-Gilts'!$B$10,'E-Gilts'!K73," ")</f>
        <v xml:space="preserve"> </v>
      </c>
      <c r="M73" t="str">
        <f>IF('E-Gilts'!A73&lt;'Adj-Gilts'!$B$10,'E-Gilts'!M73," ")</f>
        <v xml:space="preserve"> </v>
      </c>
      <c r="N73" s="29" t="str">
        <f>IF('E-Gilts'!A73&lt;'Adj-Gilts'!$B$10,1/L73," ")</f>
        <v xml:space="preserve"> </v>
      </c>
      <c r="O73" s="19"/>
      <c r="P73" s="30" t="str">
        <f t="shared" si="5"/>
        <v/>
      </c>
      <c r="Q73" s="30" t="str">
        <f t="shared" si="6"/>
        <v/>
      </c>
      <c r="R73" s="30" t="str">
        <f t="shared" si="7"/>
        <v/>
      </c>
    </row>
    <row r="74" spans="1:18" x14ac:dyDescent="0.25">
      <c r="A74" s="27" t="str">
        <f>IF('E-Gilts'!A74&lt;'Adj-Gilts'!$B$10,'E-Gilts'!B74," ")</f>
        <v xml:space="preserve"> </v>
      </c>
      <c r="B74" s="25" t="str">
        <f>IF('E-Gilts'!A74&lt;'Adj-Gilts'!$B$10,'E-Gilts'!A74," ")</f>
        <v xml:space="preserve"> </v>
      </c>
      <c r="C74" s="25" t="str">
        <f>IF('E-Gilts'!A74&lt;'Adj-Gilts'!$B$10,'E-Gilts'!C74," ")</f>
        <v xml:space="preserve"> </v>
      </c>
      <c r="D74" s="27" t="str">
        <f>IF('E-Gilts'!A74&lt;'Adj-Gilts'!$B$10,'E-Gilts'!G74," ")</f>
        <v xml:space="preserve"> </v>
      </c>
      <c r="E74" s="26" t="str">
        <f>IF('E-Gilts'!A74&lt;'Adj-Gilts'!$B$10,'E-Gilts'!D74," ")</f>
        <v xml:space="preserve"> </v>
      </c>
      <c r="F74" s="26"/>
      <c r="G74" s="216" t="str">
        <f t="shared" si="4"/>
        <v xml:space="preserve"> </v>
      </c>
      <c r="H74" s="27" t="str">
        <f>IF('E-Gilts'!A74&lt;'Adj-Gilts'!$B$10,'E-Gilts'!I74," ")</f>
        <v xml:space="preserve"> </v>
      </c>
      <c r="I74" s="217" t="str">
        <f>IF('E-Gilts'!A74&lt;'Adj-Gilts'!$B$10,'E-Gilts'!A74," ")</f>
        <v xml:space="preserve"> </v>
      </c>
      <c r="J74" s="25" t="str">
        <f>IF('E-Gilts'!A74&lt;'Adj-Gilts'!$B$10,'E-Gilts'!J74," ")</f>
        <v xml:space="preserve"> </v>
      </c>
      <c r="K74" s="27" t="str">
        <f>IF('E-Gilts'!A74&lt;'Adj-Gilts'!$B$10,'E-Gilts'!N74," ")</f>
        <v xml:space="preserve"> </v>
      </c>
      <c r="L74" s="115" t="str">
        <f>IF('E-Gilts'!A74&lt;'Adj-Gilts'!$B$10,'E-Gilts'!K74," ")</f>
        <v xml:space="preserve"> </v>
      </c>
      <c r="M74" t="str">
        <f>IF('E-Gilts'!A74&lt;'Adj-Gilts'!$B$10,'E-Gilts'!M74," ")</f>
        <v xml:space="preserve"> </v>
      </c>
      <c r="N74" s="29" t="str">
        <f>IF('E-Gilts'!A74&lt;'Adj-Gilts'!$B$10,1/L74," ")</f>
        <v xml:space="preserve"> </v>
      </c>
      <c r="O74" s="19"/>
      <c r="P74" s="30" t="str">
        <f t="shared" si="5"/>
        <v/>
      </c>
      <c r="Q74" s="30" t="str">
        <f t="shared" si="6"/>
        <v/>
      </c>
      <c r="R74" s="30" t="str">
        <f t="shared" si="7"/>
        <v/>
      </c>
    </row>
    <row r="75" spans="1:18" x14ac:dyDescent="0.25">
      <c r="A75" s="27" t="str">
        <f>IF('E-Gilts'!A75&lt;'Adj-Gilts'!$B$10,'E-Gilts'!B75," ")</f>
        <v xml:space="preserve"> </v>
      </c>
      <c r="B75" s="25" t="str">
        <f>IF('E-Gilts'!A75&lt;'Adj-Gilts'!$B$10,'E-Gilts'!A75," ")</f>
        <v xml:space="preserve"> </v>
      </c>
      <c r="C75" s="25" t="str">
        <f>IF('E-Gilts'!A75&lt;'Adj-Gilts'!$B$10,'E-Gilts'!C75," ")</f>
        <v xml:space="preserve"> </v>
      </c>
      <c r="D75" s="27" t="str">
        <f>IF('E-Gilts'!A75&lt;'Adj-Gilts'!$B$10,'E-Gilts'!G75," ")</f>
        <v xml:space="preserve"> </v>
      </c>
      <c r="E75" s="26" t="str">
        <f>IF('E-Gilts'!A75&lt;'Adj-Gilts'!$B$10,'E-Gilts'!D75," ")</f>
        <v xml:space="preserve"> </v>
      </c>
      <c r="F75" s="26"/>
      <c r="G75" s="216" t="str">
        <f t="shared" si="4"/>
        <v xml:space="preserve"> </v>
      </c>
      <c r="H75" s="27" t="str">
        <f>IF('E-Gilts'!A75&lt;'Adj-Gilts'!$B$10,'E-Gilts'!I75," ")</f>
        <v xml:space="preserve"> </v>
      </c>
      <c r="I75" s="217" t="str">
        <f>IF('E-Gilts'!A75&lt;'Adj-Gilts'!$B$10,'E-Gilts'!A75," ")</f>
        <v xml:space="preserve"> </v>
      </c>
      <c r="J75" s="25" t="str">
        <f>IF('E-Gilts'!A75&lt;'Adj-Gilts'!$B$10,'E-Gilts'!J75," ")</f>
        <v xml:space="preserve"> </v>
      </c>
      <c r="K75" s="27" t="str">
        <f>IF('E-Gilts'!A75&lt;'Adj-Gilts'!$B$10,'E-Gilts'!N75," ")</f>
        <v xml:space="preserve"> </v>
      </c>
      <c r="L75" s="115" t="str">
        <f>IF('E-Gilts'!A75&lt;'Adj-Gilts'!$B$10,'E-Gilts'!K75," ")</f>
        <v xml:space="preserve"> </v>
      </c>
      <c r="M75" t="str">
        <f>IF('E-Gilts'!A75&lt;'Adj-Gilts'!$B$10,'E-Gilts'!M75," ")</f>
        <v xml:space="preserve"> </v>
      </c>
      <c r="N75" s="29" t="str">
        <f>IF('E-Gilts'!A75&lt;'Adj-Gilts'!$B$10,1/L75," ")</f>
        <v xml:space="preserve"> </v>
      </c>
      <c r="O75" s="19"/>
      <c r="P75" s="30" t="str">
        <f t="shared" si="5"/>
        <v/>
      </c>
      <c r="Q75" s="30" t="str">
        <f t="shared" si="6"/>
        <v/>
      </c>
      <c r="R75" s="30" t="str">
        <f t="shared" si="7"/>
        <v/>
      </c>
    </row>
    <row r="76" spans="1:18" x14ac:dyDescent="0.25">
      <c r="A76" s="27" t="str">
        <f>IF('E-Gilts'!A76&lt;'Adj-Gilts'!$B$10,'E-Gilts'!B76," ")</f>
        <v xml:space="preserve"> </v>
      </c>
      <c r="B76" s="25" t="str">
        <f>IF('E-Gilts'!A76&lt;'Adj-Gilts'!$B$10,'E-Gilts'!A76," ")</f>
        <v xml:space="preserve"> </v>
      </c>
      <c r="C76" s="25" t="str">
        <f>IF('E-Gilts'!A76&lt;'Adj-Gilts'!$B$10,'E-Gilts'!C76," ")</f>
        <v xml:space="preserve"> </v>
      </c>
      <c r="D76" s="27" t="str">
        <f>IF('E-Gilts'!A76&lt;'Adj-Gilts'!$B$10,'E-Gilts'!G76," ")</f>
        <v xml:space="preserve"> </v>
      </c>
      <c r="E76" s="26" t="str">
        <f>IF('E-Gilts'!A76&lt;'Adj-Gilts'!$B$10,'E-Gilts'!D76," ")</f>
        <v xml:space="preserve"> </v>
      </c>
      <c r="F76" s="26"/>
      <c r="G76" s="216" t="str">
        <f t="shared" si="4"/>
        <v xml:space="preserve"> </v>
      </c>
      <c r="H76" s="27" t="str">
        <f>IF('E-Gilts'!A76&lt;'Adj-Gilts'!$B$10,'E-Gilts'!I76," ")</f>
        <v xml:space="preserve"> </v>
      </c>
      <c r="I76" s="217" t="str">
        <f>IF('E-Gilts'!A76&lt;'Adj-Gilts'!$B$10,'E-Gilts'!A76," ")</f>
        <v xml:space="preserve"> </v>
      </c>
      <c r="J76" s="25" t="str">
        <f>IF('E-Gilts'!A76&lt;'Adj-Gilts'!$B$10,'E-Gilts'!J76," ")</f>
        <v xml:space="preserve"> </v>
      </c>
      <c r="K76" s="27" t="str">
        <f>IF('E-Gilts'!A76&lt;'Adj-Gilts'!$B$10,'E-Gilts'!N76," ")</f>
        <v xml:space="preserve"> </v>
      </c>
      <c r="L76" s="115" t="str">
        <f>IF('E-Gilts'!A76&lt;'Adj-Gilts'!$B$10,'E-Gilts'!K76," ")</f>
        <v xml:space="preserve"> </v>
      </c>
      <c r="M76" t="str">
        <f>IF('E-Gilts'!A76&lt;'Adj-Gilts'!$B$10,'E-Gilts'!M76," ")</f>
        <v xml:space="preserve"> </v>
      </c>
      <c r="N76" s="29" t="str">
        <f>IF('E-Gilts'!A76&lt;'Adj-Gilts'!$B$10,1/L76," ")</f>
        <v xml:space="preserve"> </v>
      </c>
      <c r="O76" s="19"/>
      <c r="P76" s="30" t="str">
        <f t="shared" si="5"/>
        <v/>
      </c>
      <c r="Q76" s="30" t="str">
        <f t="shared" si="6"/>
        <v/>
      </c>
      <c r="R76" s="30" t="str">
        <f t="shared" si="7"/>
        <v/>
      </c>
    </row>
    <row r="77" spans="1:18" x14ac:dyDescent="0.25">
      <c r="A77" s="27" t="str">
        <f>IF('E-Gilts'!A77&lt;'Adj-Gilts'!$B$10,'E-Gilts'!B77," ")</f>
        <v xml:space="preserve"> </v>
      </c>
      <c r="B77" s="25" t="str">
        <f>IF('E-Gilts'!A77&lt;'Adj-Gilts'!$B$10,'E-Gilts'!A77," ")</f>
        <v xml:space="preserve"> </v>
      </c>
      <c r="C77" s="25" t="str">
        <f>IF('E-Gilts'!A77&lt;'Adj-Gilts'!$B$10,'E-Gilts'!C77," ")</f>
        <v xml:space="preserve"> </v>
      </c>
      <c r="D77" s="27" t="str">
        <f>IF('E-Gilts'!A77&lt;'Adj-Gilts'!$B$10,'E-Gilts'!G77," ")</f>
        <v xml:space="preserve"> </v>
      </c>
      <c r="E77" s="26" t="str">
        <f>IF('E-Gilts'!A77&lt;'Adj-Gilts'!$B$10,'E-Gilts'!D77," ")</f>
        <v xml:space="preserve"> </v>
      </c>
      <c r="F77" s="26"/>
      <c r="G77" s="216" t="str">
        <f t="shared" si="4"/>
        <v xml:space="preserve"> </v>
      </c>
      <c r="H77" s="27" t="str">
        <f>IF('E-Gilts'!A77&lt;'Adj-Gilts'!$B$10,'E-Gilts'!I77," ")</f>
        <v xml:space="preserve"> </v>
      </c>
      <c r="I77" s="217" t="str">
        <f>IF('E-Gilts'!A77&lt;'Adj-Gilts'!$B$10,'E-Gilts'!A77," ")</f>
        <v xml:space="preserve"> </v>
      </c>
      <c r="J77" s="25" t="str">
        <f>IF('E-Gilts'!A77&lt;'Adj-Gilts'!$B$10,'E-Gilts'!J77," ")</f>
        <v xml:space="preserve"> </v>
      </c>
      <c r="K77" s="27" t="str">
        <f>IF('E-Gilts'!A77&lt;'Adj-Gilts'!$B$10,'E-Gilts'!N77," ")</f>
        <v xml:space="preserve"> </v>
      </c>
      <c r="L77" s="115" t="str">
        <f>IF('E-Gilts'!A77&lt;'Adj-Gilts'!$B$10,'E-Gilts'!K77," ")</f>
        <v xml:space="preserve"> </v>
      </c>
      <c r="M77" t="str">
        <f>IF('E-Gilts'!A77&lt;'Adj-Gilts'!$B$10,'E-Gilts'!M77," ")</f>
        <v xml:space="preserve"> </v>
      </c>
      <c r="N77" s="29" t="str">
        <f>IF('E-Gilts'!A77&lt;'Adj-Gilts'!$B$10,1/L77," ")</f>
        <v xml:space="preserve"> </v>
      </c>
      <c r="O77" s="19"/>
      <c r="P77" s="30" t="str">
        <f t="shared" si="5"/>
        <v/>
      </c>
      <c r="Q77" s="30" t="str">
        <f t="shared" si="6"/>
        <v/>
      </c>
      <c r="R77" s="30" t="str">
        <f t="shared" si="7"/>
        <v/>
      </c>
    </row>
    <row r="78" spans="1:18" x14ac:dyDescent="0.25">
      <c r="A78" s="27" t="str">
        <f>IF('E-Gilts'!A78&lt;'Adj-Gilts'!$B$10,'E-Gilts'!B78," ")</f>
        <v xml:space="preserve"> </v>
      </c>
      <c r="B78" s="25" t="str">
        <f>IF('E-Gilts'!A78&lt;'Adj-Gilts'!$B$10,'E-Gilts'!A78," ")</f>
        <v xml:space="preserve"> </v>
      </c>
      <c r="C78" s="25" t="str">
        <f>IF('E-Gilts'!A78&lt;'Adj-Gilts'!$B$10,'E-Gilts'!C78," ")</f>
        <v xml:space="preserve"> </v>
      </c>
      <c r="D78" s="27" t="str">
        <f>IF('E-Gilts'!A78&lt;'Adj-Gilts'!$B$10,'E-Gilts'!G78," ")</f>
        <v xml:space="preserve"> </v>
      </c>
      <c r="E78" s="26" t="str">
        <f>IF('E-Gilts'!A78&lt;'Adj-Gilts'!$B$10,'E-Gilts'!D78," ")</f>
        <v xml:space="preserve"> </v>
      </c>
      <c r="F78" s="26"/>
      <c r="G78" s="216" t="str">
        <f t="shared" si="4"/>
        <v xml:space="preserve"> </v>
      </c>
      <c r="H78" s="27" t="str">
        <f>IF('E-Gilts'!A78&lt;'Adj-Gilts'!$B$10,'E-Gilts'!I78," ")</f>
        <v xml:space="preserve"> </v>
      </c>
      <c r="I78" s="217" t="str">
        <f>IF('E-Gilts'!A78&lt;'Adj-Gilts'!$B$10,'E-Gilts'!A78," ")</f>
        <v xml:space="preserve"> </v>
      </c>
      <c r="J78" s="25" t="str">
        <f>IF('E-Gilts'!A78&lt;'Adj-Gilts'!$B$10,'E-Gilts'!J78," ")</f>
        <v xml:space="preserve"> </v>
      </c>
      <c r="K78" s="27" t="str">
        <f>IF('E-Gilts'!A78&lt;'Adj-Gilts'!$B$10,'E-Gilts'!N78," ")</f>
        <v xml:space="preserve"> </v>
      </c>
      <c r="L78" s="115" t="str">
        <f>IF('E-Gilts'!A78&lt;'Adj-Gilts'!$B$10,'E-Gilts'!K78," ")</f>
        <v xml:space="preserve"> </v>
      </c>
      <c r="M78" t="str">
        <f>IF('E-Gilts'!A78&lt;'Adj-Gilts'!$B$10,'E-Gilts'!M78," ")</f>
        <v xml:space="preserve"> </v>
      </c>
      <c r="N78" s="29" t="str">
        <f>IF('E-Gilts'!A78&lt;'Adj-Gilts'!$B$10,1/L78," ")</f>
        <v xml:space="preserve"> </v>
      </c>
      <c r="O78" s="19"/>
      <c r="P78" s="30" t="str">
        <f t="shared" si="5"/>
        <v/>
      </c>
      <c r="Q78" s="30" t="str">
        <f t="shared" si="6"/>
        <v/>
      </c>
      <c r="R78" s="30" t="str">
        <f t="shared" si="7"/>
        <v/>
      </c>
    </row>
    <row r="79" spans="1:18" x14ac:dyDescent="0.25">
      <c r="A79" s="27" t="str">
        <f>IF('E-Gilts'!A79&lt;'Adj-Gilts'!$B$10,'E-Gilts'!B79," ")</f>
        <v xml:space="preserve"> </v>
      </c>
      <c r="B79" s="25" t="str">
        <f>IF('E-Gilts'!A79&lt;'Adj-Gilts'!$B$10,'E-Gilts'!A79," ")</f>
        <v xml:space="preserve"> </v>
      </c>
      <c r="C79" s="25" t="str">
        <f>IF('E-Gilts'!A79&lt;'Adj-Gilts'!$B$10,'E-Gilts'!C79," ")</f>
        <v xml:space="preserve"> </v>
      </c>
      <c r="D79" s="27" t="str">
        <f>IF('E-Gilts'!A79&lt;'Adj-Gilts'!$B$10,'E-Gilts'!G79," ")</f>
        <v xml:space="preserve"> </v>
      </c>
      <c r="E79" s="26" t="str">
        <f>IF('E-Gilts'!A79&lt;'Adj-Gilts'!$B$10,'E-Gilts'!D79," ")</f>
        <v xml:space="preserve"> </v>
      </c>
      <c r="F79" s="26"/>
      <c r="G79" s="216" t="str">
        <f t="shared" si="4"/>
        <v xml:space="preserve"> </v>
      </c>
      <c r="H79" s="27" t="str">
        <f>IF('E-Gilts'!A79&lt;'Adj-Gilts'!$B$10,'E-Gilts'!I79," ")</f>
        <v xml:space="preserve"> </v>
      </c>
      <c r="I79" s="217" t="str">
        <f>IF('E-Gilts'!A79&lt;'Adj-Gilts'!$B$10,'E-Gilts'!A79," ")</f>
        <v xml:space="preserve"> </v>
      </c>
      <c r="J79" s="25" t="str">
        <f>IF('E-Gilts'!A79&lt;'Adj-Gilts'!$B$10,'E-Gilts'!J79," ")</f>
        <v xml:space="preserve"> </v>
      </c>
      <c r="K79" s="27" t="str">
        <f>IF('E-Gilts'!A79&lt;'Adj-Gilts'!$B$10,'E-Gilts'!N79," ")</f>
        <v xml:space="preserve"> </v>
      </c>
      <c r="L79" s="115" t="str">
        <f>IF('E-Gilts'!A79&lt;'Adj-Gilts'!$B$10,'E-Gilts'!K79," ")</f>
        <v xml:space="preserve"> </v>
      </c>
      <c r="M79" t="str">
        <f>IF('E-Gilts'!A79&lt;'Adj-Gilts'!$B$10,'E-Gilts'!M79," ")</f>
        <v xml:space="preserve"> </v>
      </c>
      <c r="N79" s="29" t="str">
        <f>IF('E-Gilts'!A79&lt;'Adj-Gilts'!$B$10,1/L79," ")</f>
        <v xml:space="preserve"> </v>
      </c>
      <c r="O79" s="19"/>
      <c r="P79" s="30" t="str">
        <f t="shared" si="5"/>
        <v/>
      </c>
      <c r="Q79" s="30" t="str">
        <f t="shared" si="6"/>
        <v/>
      </c>
      <c r="R79" s="30" t="str">
        <f t="shared" si="7"/>
        <v/>
      </c>
    </row>
    <row r="80" spans="1:18" x14ac:dyDescent="0.25">
      <c r="A80" s="27" t="str">
        <f>IF('E-Gilts'!A80&lt;'Adj-Gilts'!$B$10,'E-Gilts'!B80," ")</f>
        <v xml:space="preserve"> </v>
      </c>
      <c r="B80" s="25" t="str">
        <f>IF('E-Gilts'!A80&lt;'Adj-Gilts'!$B$10,'E-Gilts'!A80," ")</f>
        <v xml:space="preserve"> </v>
      </c>
      <c r="C80" s="25" t="str">
        <f>IF('E-Gilts'!A80&lt;'Adj-Gilts'!$B$10,'E-Gilts'!C80," ")</f>
        <v xml:space="preserve"> </v>
      </c>
      <c r="D80" s="27" t="str">
        <f>IF('E-Gilts'!A80&lt;'Adj-Gilts'!$B$10,'E-Gilts'!G80," ")</f>
        <v xml:space="preserve"> </v>
      </c>
      <c r="E80" s="26" t="str">
        <f>IF('E-Gilts'!A80&lt;'Adj-Gilts'!$B$10,'E-Gilts'!D80," ")</f>
        <v xml:space="preserve"> </v>
      </c>
      <c r="F80" s="26"/>
      <c r="G80" s="216" t="str">
        <f t="shared" si="4"/>
        <v xml:space="preserve"> </v>
      </c>
      <c r="H80" s="27" t="str">
        <f>IF('E-Gilts'!A80&lt;'Adj-Gilts'!$B$10,'E-Gilts'!I80," ")</f>
        <v xml:space="preserve"> </v>
      </c>
      <c r="I80" s="217" t="str">
        <f>IF('E-Gilts'!A80&lt;'Adj-Gilts'!$B$10,'E-Gilts'!A80," ")</f>
        <v xml:space="preserve"> </v>
      </c>
      <c r="J80" s="25" t="str">
        <f>IF('E-Gilts'!A80&lt;'Adj-Gilts'!$B$10,'E-Gilts'!J80," ")</f>
        <v xml:space="preserve"> </v>
      </c>
      <c r="K80" s="27" t="str">
        <f>IF('E-Gilts'!A80&lt;'Adj-Gilts'!$B$10,'E-Gilts'!N80," ")</f>
        <v xml:space="preserve"> </v>
      </c>
      <c r="L80" s="115" t="str">
        <f>IF('E-Gilts'!A80&lt;'Adj-Gilts'!$B$10,'E-Gilts'!K80," ")</f>
        <v xml:space="preserve"> </v>
      </c>
      <c r="M80" t="str">
        <f>IF('E-Gilts'!A80&lt;'Adj-Gilts'!$B$10,'E-Gilts'!M80," ")</f>
        <v xml:space="preserve"> </v>
      </c>
      <c r="N80" s="29" t="str">
        <f>IF('E-Gilts'!A80&lt;'Adj-Gilts'!$B$10,1/L80," ")</f>
        <v xml:space="preserve"> </v>
      </c>
      <c r="O80" s="19"/>
      <c r="P80" s="30" t="str">
        <f t="shared" si="5"/>
        <v/>
      </c>
      <c r="Q80" s="30" t="str">
        <f t="shared" si="6"/>
        <v/>
      </c>
      <c r="R80" s="30" t="str">
        <f t="shared" si="7"/>
        <v/>
      </c>
    </row>
    <row r="81" spans="1:18" x14ac:dyDescent="0.25">
      <c r="A81" s="27" t="str">
        <f>IF('E-Gilts'!A81&lt;'Adj-Gilts'!$B$10,'E-Gilts'!B81," ")</f>
        <v xml:space="preserve"> </v>
      </c>
      <c r="B81" s="25" t="str">
        <f>IF('E-Gilts'!A81&lt;'Adj-Gilts'!$B$10,'E-Gilts'!A81," ")</f>
        <v xml:space="preserve"> </v>
      </c>
      <c r="C81" s="25" t="str">
        <f>IF('E-Gilts'!A81&lt;'Adj-Gilts'!$B$10,'E-Gilts'!C81," ")</f>
        <v xml:space="preserve"> </v>
      </c>
      <c r="D81" s="27" t="str">
        <f>IF('E-Gilts'!A81&lt;'Adj-Gilts'!$B$10,'E-Gilts'!G81," ")</f>
        <v xml:space="preserve"> </v>
      </c>
      <c r="E81" s="26" t="str">
        <f>IF('E-Gilts'!A81&lt;'Adj-Gilts'!$B$10,'E-Gilts'!D81," ")</f>
        <v xml:space="preserve"> </v>
      </c>
      <c r="F81" s="26"/>
      <c r="G81" s="216" t="str">
        <f t="shared" si="4"/>
        <v xml:space="preserve"> </v>
      </c>
      <c r="H81" s="27" t="str">
        <f>IF('E-Gilts'!A81&lt;'Adj-Gilts'!$B$10,'E-Gilts'!I81," ")</f>
        <v xml:space="preserve"> </v>
      </c>
      <c r="I81" s="217" t="str">
        <f>IF('E-Gilts'!A81&lt;'Adj-Gilts'!$B$10,'E-Gilts'!A81," ")</f>
        <v xml:space="preserve"> </v>
      </c>
      <c r="J81" s="25" t="str">
        <f>IF('E-Gilts'!A81&lt;'Adj-Gilts'!$B$10,'E-Gilts'!J81," ")</f>
        <v xml:space="preserve"> </v>
      </c>
      <c r="K81" s="27" t="str">
        <f>IF('E-Gilts'!A81&lt;'Adj-Gilts'!$B$10,'E-Gilts'!N81," ")</f>
        <v xml:space="preserve"> </v>
      </c>
      <c r="L81" s="115" t="str">
        <f>IF('E-Gilts'!A81&lt;'Adj-Gilts'!$B$10,'E-Gilts'!K81," ")</f>
        <v xml:space="preserve"> </v>
      </c>
      <c r="M81" t="str">
        <f>IF('E-Gilts'!A81&lt;'Adj-Gilts'!$B$10,'E-Gilts'!M81," ")</f>
        <v xml:space="preserve"> </v>
      </c>
      <c r="N81" s="29" t="str">
        <f>IF('E-Gilts'!A81&lt;'Adj-Gilts'!$B$10,1/L81," ")</f>
        <v xml:space="preserve"> </v>
      </c>
      <c r="O81" s="19"/>
      <c r="P81" s="30" t="str">
        <f t="shared" si="5"/>
        <v/>
      </c>
      <c r="Q81" s="30" t="str">
        <f t="shared" si="6"/>
        <v/>
      </c>
      <c r="R81" s="30" t="str">
        <f t="shared" si="7"/>
        <v/>
      </c>
    </row>
    <row r="82" spans="1:18" x14ac:dyDescent="0.25">
      <c r="A82" s="27" t="str">
        <f>IF('E-Gilts'!A82&lt;'Adj-Gilts'!$B$10,'E-Gilts'!B82," ")</f>
        <v xml:space="preserve"> </v>
      </c>
      <c r="B82" s="25" t="str">
        <f>IF('E-Gilts'!A82&lt;'Adj-Gilts'!$B$10,'E-Gilts'!A82," ")</f>
        <v xml:space="preserve"> </v>
      </c>
      <c r="C82" s="25" t="str">
        <f>IF('E-Gilts'!A82&lt;'Adj-Gilts'!$B$10,'E-Gilts'!C82," ")</f>
        <v xml:space="preserve"> </v>
      </c>
      <c r="D82" s="27" t="str">
        <f>IF('E-Gilts'!A82&lt;'Adj-Gilts'!$B$10,'E-Gilts'!G82," ")</f>
        <v xml:space="preserve"> </v>
      </c>
      <c r="E82" s="26" t="str">
        <f>IF('E-Gilts'!A82&lt;'Adj-Gilts'!$B$10,'E-Gilts'!D82," ")</f>
        <v xml:space="preserve"> </v>
      </c>
      <c r="F82" s="26"/>
      <c r="G82" s="216" t="str">
        <f t="shared" si="4"/>
        <v xml:space="preserve"> </v>
      </c>
      <c r="H82" s="27" t="str">
        <f>IF('E-Gilts'!A82&lt;'Adj-Gilts'!$B$10,'E-Gilts'!I82," ")</f>
        <v xml:space="preserve"> </v>
      </c>
      <c r="I82" s="217" t="str">
        <f>IF('E-Gilts'!A82&lt;'Adj-Gilts'!$B$10,'E-Gilts'!A82," ")</f>
        <v xml:space="preserve"> </v>
      </c>
      <c r="J82" s="25" t="str">
        <f>IF('E-Gilts'!A82&lt;'Adj-Gilts'!$B$10,'E-Gilts'!J82," ")</f>
        <v xml:space="preserve"> </v>
      </c>
      <c r="K82" s="27" t="str">
        <f>IF('E-Gilts'!A82&lt;'Adj-Gilts'!$B$10,'E-Gilts'!N82," ")</f>
        <v xml:space="preserve"> </v>
      </c>
      <c r="L82" s="115" t="str">
        <f>IF('E-Gilts'!A82&lt;'Adj-Gilts'!$B$10,'E-Gilts'!K82," ")</f>
        <v xml:space="preserve"> </v>
      </c>
      <c r="M82" t="str">
        <f>IF('E-Gilts'!A82&lt;'Adj-Gilts'!$B$10,'E-Gilts'!M82," ")</f>
        <v xml:space="preserve"> </v>
      </c>
      <c r="N82" s="29" t="str">
        <f>IF('E-Gilts'!A82&lt;'Adj-Gilts'!$B$10,1/L82," ")</f>
        <v xml:space="preserve"> </v>
      </c>
      <c r="O82" s="19"/>
      <c r="P82" s="30" t="str">
        <f t="shared" si="5"/>
        <v/>
      </c>
      <c r="Q82" s="30" t="str">
        <f t="shared" si="6"/>
        <v/>
      </c>
      <c r="R82" s="30" t="str">
        <f t="shared" si="7"/>
        <v/>
      </c>
    </row>
    <row r="83" spans="1:18" x14ac:dyDescent="0.25">
      <c r="A83" s="27" t="str">
        <f>IF('E-Gilts'!A83&lt;'Adj-Gilts'!$B$10,'E-Gilts'!B83," ")</f>
        <v xml:space="preserve"> </v>
      </c>
      <c r="B83" s="25" t="str">
        <f>IF('E-Gilts'!A83&lt;'Adj-Gilts'!$B$10,'E-Gilts'!A83," ")</f>
        <v xml:space="preserve"> </v>
      </c>
      <c r="C83" s="25" t="str">
        <f>IF('E-Gilts'!A83&lt;'Adj-Gilts'!$B$10,'E-Gilts'!C83," ")</f>
        <v xml:space="preserve"> </v>
      </c>
      <c r="D83" s="27" t="str">
        <f>IF('E-Gilts'!A83&lt;'Adj-Gilts'!$B$10,'E-Gilts'!G83," ")</f>
        <v xml:space="preserve"> </v>
      </c>
      <c r="E83" s="26" t="str">
        <f>IF('E-Gilts'!A83&lt;'Adj-Gilts'!$B$10,'E-Gilts'!D83," ")</f>
        <v xml:space="preserve"> </v>
      </c>
      <c r="F83" s="26"/>
      <c r="G83" s="216" t="str">
        <f t="shared" si="4"/>
        <v xml:space="preserve"> </v>
      </c>
      <c r="H83" s="27" t="str">
        <f>IF('E-Gilts'!A83&lt;'Adj-Gilts'!$B$10,'E-Gilts'!I83," ")</f>
        <v xml:space="preserve"> </v>
      </c>
      <c r="I83" s="217" t="str">
        <f>IF('E-Gilts'!A83&lt;'Adj-Gilts'!$B$10,'E-Gilts'!A83," ")</f>
        <v xml:space="preserve"> </v>
      </c>
      <c r="J83" s="25" t="str">
        <f>IF('E-Gilts'!A83&lt;'Adj-Gilts'!$B$10,'E-Gilts'!J83," ")</f>
        <v xml:space="preserve"> </v>
      </c>
      <c r="K83" s="27" t="str">
        <f>IF('E-Gilts'!A83&lt;'Adj-Gilts'!$B$10,'E-Gilts'!N83," ")</f>
        <v xml:space="preserve"> </v>
      </c>
      <c r="L83" s="115" t="str">
        <f>IF('E-Gilts'!A83&lt;'Adj-Gilts'!$B$10,'E-Gilts'!K83," ")</f>
        <v xml:space="preserve"> </v>
      </c>
      <c r="M83" t="str">
        <f>IF('E-Gilts'!A83&lt;'Adj-Gilts'!$B$10,'E-Gilts'!M83," ")</f>
        <v xml:space="preserve"> </v>
      </c>
      <c r="N83" s="29" t="str">
        <f>IF('E-Gilts'!A83&lt;'Adj-Gilts'!$B$10,1/L83," ")</f>
        <v xml:space="preserve"> </v>
      </c>
      <c r="O83" s="19"/>
      <c r="P83" s="30" t="str">
        <f t="shared" si="5"/>
        <v/>
      </c>
      <c r="Q83" s="30" t="str">
        <f t="shared" si="6"/>
        <v/>
      </c>
      <c r="R83" s="30" t="str">
        <f t="shared" si="7"/>
        <v/>
      </c>
    </row>
    <row r="84" spans="1:18" x14ac:dyDescent="0.25">
      <c r="A84" s="27" t="str">
        <f>IF('E-Gilts'!A84&lt;'Adj-Gilts'!$B$10,'E-Gilts'!B84," ")</f>
        <v xml:space="preserve"> </v>
      </c>
      <c r="B84" s="25" t="str">
        <f>IF('E-Gilts'!A84&lt;'Adj-Gilts'!$B$10,'E-Gilts'!A84," ")</f>
        <v xml:space="preserve"> </v>
      </c>
      <c r="C84" s="25" t="str">
        <f>IF('E-Gilts'!A84&lt;'Adj-Gilts'!$B$10,'E-Gilts'!C84," ")</f>
        <v xml:space="preserve"> </v>
      </c>
      <c r="D84" s="27" t="str">
        <f>IF('E-Gilts'!A84&lt;'Adj-Gilts'!$B$10,'E-Gilts'!G84," ")</f>
        <v xml:space="preserve"> </v>
      </c>
      <c r="E84" s="26" t="str">
        <f>IF('E-Gilts'!A84&lt;'Adj-Gilts'!$B$10,'E-Gilts'!D84," ")</f>
        <v xml:space="preserve"> </v>
      </c>
      <c r="F84" s="26"/>
      <c r="G84" s="216" t="str">
        <f t="shared" si="4"/>
        <v xml:space="preserve"> </v>
      </c>
      <c r="H84" s="27" t="str">
        <f>IF('E-Gilts'!A84&lt;'Adj-Gilts'!$B$10,'E-Gilts'!I84," ")</f>
        <v xml:space="preserve"> </v>
      </c>
      <c r="I84" s="217" t="str">
        <f>IF('E-Gilts'!A84&lt;'Adj-Gilts'!$B$10,'E-Gilts'!A84," ")</f>
        <v xml:space="preserve"> </v>
      </c>
      <c r="J84" s="25" t="str">
        <f>IF('E-Gilts'!A84&lt;'Adj-Gilts'!$B$10,'E-Gilts'!J84," ")</f>
        <v xml:space="preserve"> </v>
      </c>
      <c r="K84" s="27" t="str">
        <f>IF('E-Gilts'!A84&lt;'Adj-Gilts'!$B$10,'E-Gilts'!N84," ")</f>
        <v xml:space="preserve"> </v>
      </c>
      <c r="L84" s="115" t="str">
        <f>IF('E-Gilts'!A84&lt;'Adj-Gilts'!$B$10,'E-Gilts'!K84," ")</f>
        <v xml:space="preserve"> </v>
      </c>
      <c r="M84" t="str">
        <f>IF('E-Gilts'!A84&lt;'Adj-Gilts'!$B$10,'E-Gilts'!M84," ")</f>
        <v xml:space="preserve"> </v>
      </c>
      <c r="N84" s="29" t="str">
        <f>IF('E-Gilts'!A84&lt;'Adj-Gilts'!$B$10,1/L84," ")</f>
        <v xml:space="preserve"> </v>
      </c>
      <c r="O84" s="19"/>
      <c r="P84" s="30" t="str">
        <f t="shared" si="5"/>
        <v/>
      </c>
      <c r="Q84" s="30" t="str">
        <f t="shared" si="6"/>
        <v/>
      </c>
      <c r="R84" s="30" t="str">
        <f t="shared" si="7"/>
        <v/>
      </c>
    </row>
    <row r="85" spans="1:18" x14ac:dyDescent="0.25">
      <c r="A85" s="27" t="str">
        <f>IF('E-Gilts'!A85&lt;'Adj-Gilts'!$B$10,'E-Gilts'!B85," ")</f>
        <v xml:space="preserve"> </v>
      </c>
      <c r="B85" s="25" t="str">
        <f>IF('E-Gilts'!A85&lt;'Adj-Gilts'!$B$10,'E-Gilts'!A85," ")</f>
        <v xml:space="preserve"> </v>
      </c>
      <c r="C85" s="25" t="str">
        <f>IF('E-Gilts'!A85&lt;'Adj-Gilts'!$B$10,'E-Gilts'!C85," ")</f>
        <v xml:space="preserve"> </v>
      </c>
      <c r="D85" s="27" t="str">
        <f>IF('E-Gilts'!A85&lt;'Adj-Gilts'!$B$10,'E-Gilts'!G85," ")</f>
        <v xml:space="preserve"> </v>
      </c>
      <c r="E85" s="26" t="str">
        <f>IF('E-Gilts'!A85&lt;'Adj-Gilts'!$B$10,'E-Gilts'!D85," ")</f>
        <v xml:space="preserve"> </v>
      </c>
      <c r="F85" s="26"/>
      <c r="G85" s="216" t="str">
        <f t="shared" si="4"/>
        <v xml:space="preserve"> </v>
      </c>
      <c r="H85" s="27" t="str">
        <f>IF('E-Gilts'!A85&lt;'Adj-Gilts'!$B$10,'E-Gilts'!I85," ")</f>
        <v xml:space="preserve"> </v>
      </c>
      <c r="I85" s="217" t="str">
        <f>IF('E-Gilts'!A85&lt;'Adj-Gilts'!$B$10,'E-Gilts'!A85," ")</f>
        <v xml:space="preserve"> </v>
      </c>
      <c r="J85" s="25" t="str">
        <f>IF('E-Gilts'!A85&lt;'Adj-Gilts'!$B$10,'E-Gilts'!J85," ")</f>
        <v xml:space="preserve"> </v>
      </c>
      <c r="K85" s="27" t="str">
        <f>IF('E-Gilts'!A85&lt;'Adj-Gilts'!$B$10,'E-Gilts'!N85," ")</f>
        <v xml:space="preserve"> </v>
      </c>
      <c r="L85" s="115" t="str">
        <f>IF('E-Gilts'!A85&lt;'Adj-Gilts'!$B$10,'E-Gilts'!K85," ")</f>
        <v xml:space="preserve"> </v>
      </c>
      <c r="M85" t="str">
        <f>IF('E-Gilts'!A85&lt;'Adj-Gilts'!$B$10,'E-Gilts'!M85," ")</f>
        <v xml:space="preserve"> </v>
      </c>
      <c r="N85" s="29" t="str">
        <f>IF('E-Gilts'!A85&lt;'Adj-Gilts'!$B$10,1/L85," ")</f>
        <v xml:space="preserve"> </v>
      </c>
      <c r="O85" s="19"/>
      <c r="P85" s="30" t="str">
        <f t="shared" si="5"/>
        <v/>
      </c>
      <c r="Q85" s="30" t="str">
        <f t="shared" si="6"/>
        <v/>
      </c>
      <c r="R85" s="30" t="str">
        <f t="shared" si="7"/>
        <v/>
      </c>
    </row>
    <row r="86" spans="1:18" x14ac:dyDescent="0.25">
      <c r="A86" s="27" t="str">
        <f>IF('E-Gilts'!A86&lt;'Adj-Gilts'!$B$10,'E-Gilts'!B86," ")</f>
        <v xml:space="preserve"> </v>
      </c>
      <c r="B86" s="25" t="str">
        <f>IF('E-Gilts'!A86&lt;'Adj-Gilts'!$B$10,'E-Gilts'!A86," ")</f>
        <v xml:space="preserve"> </v>
      </c>
      <c r="C86" s="25" t="str">
        <f>IF('E-Gilts'!A86&lt;'Adj-Gilts'!$B$10,'E-Gilts'!C86," ")</f>
        <v xml:space="preserve"> </v>
      </c>
      <c r="D86" s="27" t="str">
        <f>IF('E-Gilts'!A86&lt;'Adj-Gilts'!$B$10,'E-Gilts'!G86," ")</f>
        <v xml:space="preserve"> </v>
      </c>
      <c r="E86" s="26" t="str">
        <f>IF('E-Gilts'!A86&lt;'Adj-Gilts'!$B$10,'E-Gilts'!D86," ")</f>
        <v xml:space="preserve"> </v>
      </c>
      <c r="F86" s="26"/>
      <c r="G86" s="216" t="str">
        <f t="shared" si="4"/>
        <v xml:space="preserve"> </v>
      </c>
      <c r="H86" s="27" t="str">
        <f>IF('E-Gilts'!A86&lt;'Adj-Gilts'!$B$10,'E-Gilts'!I86," ")</f>
        <v xml:space="preserve"> </v>
      </c>
      <c r="I86" s="217" t="str">
        <f>IF('E-Gilts'!A86&lt;'Adj-Gilts'!$B$10,'E-Gilts'!A86," ")</f>
        <v xml:space="preserve"> </v>
      </c>
      <c r="J86" s="25" t="str">
        <f>IF('E-Gilts'!A86&lt;'Adj-Gilts'!$B$10,'E-Gilts'!J86," ")</f>
        <v xml:space="preserve"> </v>
      </c>
      <c r="K86" s="27" t="str">
        <f>IF('E-Gilts'!A86&lt;'Adj-Gilts'!$B$10,'E-Gilts'!N86," ")</f>
        <v xml:space="preserve"> </v>
      </c>
      <c r="L86" s="115" t="str">
        <f>IF('E-Gilts'!A86&lt;'Adj-Gilts'!$B$10,'E-Gilts'!K86," ")</f>
        <v xml:space="preserve"> </v>
      </c>
      <c r="M86" t="str">
        <f>IF('E-Gilts'!A86&lt;'Adj-Gilts'!$B$10,'E-Gilts'!M86," ")</f>
        <v xml:space="preserve"> </v>
      </c>
      <c r="N86" s="29" t="str">
        <f>IF('E-Gilts'!A86&lt;'Adj-Gilts'!$B$10,1/L86," ")</f>
        <v xml:space="preserve"> </v>
      </c>
      <c r="O86" s="19"/>
      <c r="P86" s="30" t="str">
        <f t="shared" si="5"/>
        <v/>
      </c>
      <c r="Q86" s="30" t="str">
        <f t="shared" si="6"/>
        <v/>
      </c>
      <c r="R86" s="30" t="str">
        <f t="shared" si="7"/>
        <v/>
      </c>
    </row>
    <row r="87" spans="1:18" x14ac:dyDescent="0.25">
      <c r="A87" s="27" t="str">
        <f>IF('E-Gilts'!A87&lt;'Adj-Gilts'!$B$10,'E-Gilts'!B87," ")</f>
        <v xml:space="preserve"> </v>
      </c>
      <c r="B87" s="25" t="str">
        <f>IF('E-Gilts'!A87&lt;'Adj-Gilts'!$B$10,'E-Gilts'!A87," ")</f>
        <v xml:space="preserve"> </v>
      </c>
      <c r="C87" s="25" t="str">
        <f>IF('E-Gilts'!A87&lt;'Adj-Gilts'!$B$10,'E-Gilts'!C87," ")</f>
        <v xml:space="preserve"> </v>
      </c>
      <c r="D87" s="27" t="str">
        <f>IF('E-Gilts'!A87&lt;'Adj-Gilts'!$B$10,'E-Gilts'!G87," ")</f>
        <v xml:space="preserve"> </v>
      </c>
      <c r="E87" s="26" t="str">
        <f>IF('E-Gilts'!A87&lt;'Adj-Gilts'!$B$10,'E-Gilts'!D87," ")</f>
        <v xml:space="preserve"> </v>
      </c>
      <c r="F87" s="26"/>
      <c r="G87" s="216" t="str">
        <f t="shared" si="4"/>
        <v xml:space="preserve"> </v>
      </c>
      <c r="H87" s="27" t="str">
        <f>IF('E-Gilts'!A87&lt;'Adj-Gilts'!$B$10,'E-Gilts'!I87," ")</f>
        <v xml:space="preserve"> </v>
      </c>
      <c r="I87" s="217" t="str">
        <f>IF('E-Gilts'!A87&lt;'Adj-Gilts'!$B$10,'E-Gilts'!A87," ")</f>
        <v xml:space="preserve"> </v>
      </c>
      <c r="J87" s="25" t="str">
        <f>IF('E-Gilts'!A87&lt;'Adj-Gilts'!$B$10,'E-Gilts'!J87," ")</f>
        <v xml:space="preserve"> </v>
      </c>
      <c r="K87" s="27" t="str">
        <f>IF('E-Gilts'!A87&lt;'Adj-Gilts'!$B$10,'E-Gilts'!N87," ")</f>
        <v xml:space="preserve"> </v>
      </c>
      <c r="L87" s="115" t="str">
        <f>IF('E-Gilts'!A87&lt;'Adj-Gilts'!$B$10,'E-Gilts'!K87," ")</f>
        <v xml:space="preserve"> </v>
      </c>
      <c r="M87" t="str">
        <f>IF('E-Gilts'!A87&lt;'Adj-Gilts'!$B$10,'E-Gilts'!M87," ")</f>
        <v xml:space="preserve"> </v>
      </c>
      <c r="N87" s="29" t="str">
        <f>IF('E-Gilts'!A87&lt;'Adj-Gilts'!$B$10,1/L87," ")</f>
        <v xml:space="preserve"> </v>
      </c>
      <c r="O87" s="19"/>
      <c r="P87" s="30" t="str">
        <f t="shared" si="5"/>
        <v/>
      </c>
      <c r="Q87" s="30" t="str">
        <f t="shared" si="6"/>
        <v/>
      </c>
      <c r="R87" s="30" t="str">
        <f t="shared" si="7"/>
        <v/>
      </c>
    </row>
    <row r="88" spans="1:18" x14ac:dyDescent="0.25">
      <c r="A88" s="27" t="str">
        <f>IF('E-Gilts'!A88&lt;'Adj-Gilts'!$B$10,'E-Gilts'!B88," ")</f>
        <v xml:space="preserve"> </v>
      </c>
      <c r="B88" s="25" t="str">
        <f>IF('E-Gilts'!A88&lt;'Adj-Gilts'!$B$10,'E-Gilts'!A88," ")</f>
        <v xml:space="preserve"> </v>
      </c>
      <c r="C88" s="25" t="str">
        <f>IF('E-Gilts'!A88&lt;'Adj-Gilts'!$B$10,'E-Gilts'!C88," ")</f>
        <v xml:space="preserve"> </v>
      </c>
      <c r="D88" s="27" t="str">
        <f>IF('E-Gilts'!A88&lt;'Adj-Gilts'!$B$10,'E-Gilts'!G88," ")</f>
        <v xml:space="preserve"> </v>
      </c>
      <c r="E88" s="26" t="str">
        <f>IF('E-Gilts'!A88&lt;'Adj-Gilts'!$B$10,'E-Gilts'!D88," ")</f>
        <v xml:space="preserve"> </v>
      </c>
      <c r="F88" s="26"/>
      <c r="G88" s="216" t="str">
        <f t="shared" si="4"/>
        <v xml:space="preserve"> </v>
      </c>
      <c r="H88" s="27" t="str">
        <f>IF('E-Gilts'!A88&lt;'Adj-Gilts'!$B$10,'E-Gilts'!I88," ")</f>
        <v xml:space="preserve"> </v>
      </c>
      <c r="I88" s="217" t="str">
        <f>IF('E-Gilts'!A88&lt;'Adj-Gilts'!$B$10,'E-Gilts'!A88," ")</f>
        <v xml:space="preserve"> </v>
      </c>
      <c r="J88" s="25" t="str">
        <f>IF('E-Gilts'!A88&lt;'Adj-Gilts'!$B$10,'E-Gilts'!J88," ")</f>
        <v xml:space="preserve"> </v>
      </c>
      <c r="K88" s="27" t="str">
        <f>IF('E-Gilts'!A88&lt;'Adj-Gilts'!$B$10,'E-Gilts'!N88," ")</f>
        <v xml:space="preserve"> </v>
      </c>
      <c r="L88" s="115" t="str">
        <f>IF('E-Gilts'!A88&lt;'Adj-Gilts'!$B$10,'E-Gilts'!K88," ")</f>
        <v xml:space="preserve"> </v>
      </c>
      <c r="M88" t="str">
        <f>IF('E-Gilts'!A88&lt;'Adj-Gilts'!$B$10,'E-Gilts'!M88," ")</f>
        <v xml:space="preserve"> </v>
      </c>
      <c r="N88" s="29" t="str">
        <f>IF('E-Gilts'!A88&lt;'Adj-Gilts'!$B$10,1/L88," ")</f>
        <v xml:space="preserve"> </v>
      </c>
      <c r="O88" s="19"/>
      <c r="P88" s="30" t="str">
        <f t="shared" si="5"/>
        <v/>
      </c>
      <c r="Q88" s="30" t="str">
        <f t="shared" si="6"/>
        <v/>
      </c>
      <c r="R88" s="30" t="str">
        <f t="shared" si="7"/>
        <v/>
      </c>
    </row>
    <row r="89" spans="1:18" x14ac:dyDescent="0.25">
      <c r="A89" s="27" t="str">
        <f>IF('E-Gilts'!A89&lt;'Adj-Gilts'!$B$10,'E-Gilts'!B89," ")</f>
        <v xml:space="preserve"> </v>
      </c>
      <c r="B89" s="25" t="str">
        <f>IF('E-Gilts'!A89&lt;'Adj-Gilts'!$B$10,'E-Gilts'!A89," ")</f>
        <v xml:space="preserve"> </v>
      </c>
      <c r="C89" s="25" t="str">
        <f>IF('E-Gilts'!A89&lt;'Adj-Gilts'!$B$10,'E-Gilts'!C89," ")</f>
        <v xml:space="preserve"> </v>
      </c>
      <c r="D89" s="27" t="str">
        <f>IF('E-Gilts'!A89&lt;'Adj-Gilts'!$B$10,'E-Gilts'!G89," ")</f>
        <v xml:space="preserve"> </v>
      </c>
      <c r="E89" s="26" t="str">
        <f>IF('E-Gilts'!A89&lt;'Adj-Gilts'!$B$10,'E-Gilts'!D89," ")</f>
        <v xml:space="preserve"> </v>
      </c>
      <c r="F89" s="26"/>
      <c r="G89" s="216" t="str">
        <f t="shared" si="4"/>
        <v xml:space="preserve"> </v>
      </c>
      <c r="H89" s="27" t="str">
        <f>IF('E-Gilts'!A89&lt;'Adj-Gilts'!$B$10,'E-Gilts'!I89," ")</f>
        <v xml:space="preserve"> </v>
      </c>
      <c r="I89" s="217" t="str">
        <f>IF('E-Gilts'!A89&lt;'Adj-Gilts'!$B$10,'E-Gilts'!A89," ")</f>
        <v xml:space="preserve"> </v>
      </c>
      <c r="J89" s="25" t="str">
        <f>IF('E-Gilts'!A89&lt;'Adj-Gilts'!$B$10,'E-Gilts'!J89," ")</f>
        <v xml:space="preserve"> </v>
      </c>
      <c r="K89" s="27" t="str">
        <f>IF('E-Gilts'!A89&lt;'Adj-Gilts'!$B$10,'E-Gilts'!N89," ")</f>
        <v xml:space="preserve"> </v>
      </c>
      <c r="L89" s="115" t="str">
        <f>IF('E-Gilts'!A89&lt;'Adj-Gilts'!$B$10,'E-Gilts'!K89," ")</f>
        <v xml:space="preserve"> </v>
      </c>
      <c r="M89" t="str">
        <f>IF('E-Gilts'!A89&lt;'Adj-Gilts'!$B$10,'E-Gilts'!M89," ")</f>
        <v xml:space="preserve"> </v>
      </c>
      <c r="N89" s="29" t="str">
        <f>IF('E-Gilts'!A89&lt;'Adj-Gilts'!$B$10,1/L89," ")</f>
        <v xml:space="preserve"> </v>
      </c>
      <c r="O89" s="19"/>
      <c r="P89" s="30" t="str">
        <f t="shared" si="5"/>
        <v/>
      </c>
      <c r="Q89" s="30" t="str">
        <f t="shared" si="6"/>
        <v/>
      </c>
      <c r="R89" s="30" t="str">
        <f t="shared" si="7"/>
        <v/>
      </c>
    </row>
    <row r="90" spans="1:18" x14ac:dyDescent="0.25">
      <c r="A90" s="27" t="str">
        <f>IF('E-Gilts'!A90&lt;'Adj-Gilts'!$B$10,'E-Gilts'!B90," ")</f>
        <v xml:space="preserve"> </v>
      </c>
      <c r="B90" s="25" t="str">
        <f>IF('E-Gilts'!A90&lt;'Adj-Gilts'!$B$10,'E-Gilts'!A90," ")</f>
        <v xml:space="preserve"> </v>
      </c>
      <c r="C90" s="25" t="str">
        <f>IF('E-Gilts'!A90&lt;'Adj-Gilts'!$B$10,'E-Gilts'!C90," ")</f>
        <v xml:space="preserve"> </v>
      </c>
      <c r="D90" s="27" t="str">
        <f>IF('E-Gilts'!A90&lt;'Adj-Gilts'!$B$10,'E-Gilts'!G90," ")</f>
        <v xml:space="preserve"> </v>
      </c>
      <c r="E90" s="26" t="str">
        <f>IF('E-Gilts'!A90&lt;'Adj-Gilts'!$B$10,'E-Gilts'!D90," ")</f>
        <v xml:space="preserve"> </v>
      </c>
      <c r="F90" s="26"/>
      <c r="G90" s="216" t="str">
        <f t="shared" si="4"/>
        <v xml:space="preserve"> </v>
      </c>
      <c r="H90" s="27" t="str">
        <f>IF('E-Gilts'!A90&lt;'Adj-Gilts'!$B$10,'E-Gilts'!I90," ")</f>
        <v xml:space="preserve"> </v>
      </c>
      <c r="I90" s="217" t="str">
        <f>IF('E-Gilts'!A90&lt;'Adj-Gilts'!$B$10,'E-Gilts'!A90," ")</f>
        <v xml:space="preserve"> </v>
      </c>
      <c r="J90" s="25" t="str">
        <f>IF('E-Gilts'!A90&lt;'Adj-Gilts'!$B$10,'E-Gilts'!J90," ")</f>
        <v xml:space="preserve"> </v>
      </c>
      <c r="K90" s="27" t="str">
        <f>IF('E-Gilts'!A90&lt;'Adj-Gilts'!$B$10,'E-Gilts'!N90," ")</f>
        <v xml:space="preserve"> </v>
      </c>
      <c r="L90" s="115" t="str">
        <f>IF('E-Gilts'!A90&lt;'Adj-Gilts'!$B$10,'E-Gilts'!K90," ")</f>
        <v xml:space="preserve"> </v>
      </c>
      <c r="M90" t="str">
        <f>IF('E-Gilts'!A90&lt;'Adj-Gilts'!$B$10,'E-Gilts'!M90," ")</f>
        <v xml:space="preserve"> </v>
      </c>
      <c r="N90" s="29" t="str">
        <f>IF('E-Gilts'!A90&lt;'Adj-Gilts'!$B$10,1/L90," ")</f>
        <v xml:space="preserve"> </v>
      </c>
      <c r="O90" s="19"/>
      <c r="P90" s="30" t="str">
        <f t="shared" si="5"/>
        <v/>
      </c>
      <c r="Q90" s="30" t="str">
        <f t="shared" si="6"/>
        <v/>
      </c>
      <c r="R90" s="30" t="str">
        <f t="shared" si="7"/>
        <v/>
      </c>
    </row>
    <row r="91" spans="1:18" x14ac:dyDescent="0.25">
      <c r="A91" s="27" t="str">
        <f>IF('E-Gilts'!A91&lt;'Adj-Gilts'!$B$10,'E-Gilts'!B91," ")</f>
        <v xml:space="preserve"> </v>
      </c>
      <c r="B91" s="25" t="str">
        <f>IF('E-Gilts'!A91&lt;'Adj-Gilts'!$B$10,'E-Gilts'!A91," ")</f>
        <v xml:space="preserve"> </v>
      </c>
      <c r="C91" s="25" t="str">
        <f>IF('E-Gilts'!A91&lt;'Adj-Gilts'!$B$10,'E-Gilts'!C91," ")</f>
        <v xml:space="preserve"> </v>
      </c>
      <c r="D91" s="27" t="str">
        <f>IF('E-Gilts'!A91&lt;'Adj-Gilts'!$B$10,'E-Gilts'!G91," ")</f>
        <v xml:space="preserve"> </v>
      </c>
      <c r="E91" s="26" t="str">
        <f>IF('E-Gilts'!A91&lt;'Adj-Gilts'!$B$10,'E-Gilts'!D91," ")</f>
        <v xml:space="preserve"> </v>
      </c>
      <c r="F91" s="26"/>
      <c r="G91" s="216" t="str">
        <f t="shared" si="4"/>
        <v xml:space="preserve"> </v>
      </c>
      <c r="H91" s="27" t="str">
        <f>IF('E-Gilts'!A91&lt;'Adj-Gilts'!$B$10,'E-Gilts'!I91," ")</f>
        <v xml:space="preserve"> </v>
      </c>
      <c r="I91" s="217" t="str">
        <f>IF('E-Gilts'!A91&lt;'Adj-Gilts'!$B$10,'E-Gilts'!A91," ")</f>
        <v xml:space="preserve"> </v>
      </c>
      <c r="J91" s="25" t="str">
        <f>IF('E-Gilts'!A91&lt;'Adj-Gilts'!$B$10,'E-Gilts'!J91," ")</f>
        <v xml:space="preserve"> </v>
      </c>
      <c r="K91" s="27" t="str">
        <f>IF('E-Gilts'!A91&lt;'Adj-Gilts'!$B$10,'E-Gilts'!N91," ")</f>
        <v xml:space="preserve"> </v>
      </c>
      <c r="L91" s="115" t="str">
        <f>IF('E-Gilts'!A91&lt;'Adj-Gilts'!$B$10,'E-Gilts'!K91," ")</f>
        <v xml:space="preserve"> </v>
      </c>
      <c r="M91" t="str">
        <f>IF('E-Gilts'!A91&lt;'Adj-Gilts'!$B$10,'E-Gilts'!M91," ")</f>
        <v xml:space="preserve"> </v>
      </c>
      <c r="N91" s="29" t="str">
        <f>IF('E-Gilts'!A91&lt;'Adj-Gilts'!$B$10,1/L91," ")</f>
        <v xml:space="preserve"> </v>
      </c>
      <c r="O91" s="19"/>
      <c r="P91" s="30" t="str">
        <f t="shared" si="5"/>
        <v/>
      </c>
      <c r="Q91" s="30" t="str">
        <f t="shared" si="6"/>
        <v/>
      </c>
      <c r="R91" s="30" t="str">
        <f t="shared" si="7"/>
        <v/>
      </c>
    </row>
    <row r="92" spans="1:18" x14ac:dyDescent="0.25">
      <c r="A92" s="27" t="str">
        <f>IF('E-Gilts'!A92&lt;'Adj-Gilts'!$B$10,'E-Gilts'!B92," ")</f>
        <v xml:space="preserve"> </v>
      </c>
      <c r="B92" s="25" t="str">
        <f>IF('E-Gilts'!A92&lt;'Adj-Gilts'!$B$10,'E-Gilts'!A92," ")</f>
        <v xml:space="preserve"> </v>
      </c>
      <c r="C92" s="25" t="str">
        <f>IF('E-Gilts'!A92&lt;'Adj-Gilts'!$B$10,'E-Gilts'!C92," ")</f>
        <v xml:space="preserve"> </v>
      </c>
      <c r="D92" s="27" t="str">
        <f>IF('E-Gilts'!A92&lt;'Adj-Gilts'!$B$10,'E-Gilts'!G92," ")</f>
        <v xml:space="preserve"> </v>
      </c>
      <c r="E92" s="26" t="str">
        <f>IF('E-Gilts'!A92&lt;'Adj-Gilts'!$B$10,'E-Gilts'!D92," ")</f>
        <v xml:space="preserve"> </v>
      </c>
      <c r="F92" s="26"/>
      <c r="G92" s="216" t="str">
        <f t="shared" si="4"/>
        <v xml:space="preserve"> </v>
      </c>
      <c r="H92" s="27" t="str">
        <f>IF('E-Gilts'!A92&lt;'Adj-Gilts'!$B$10,'E-Gilts'!I92," ")</f>
        <v xml:space="preserve"> </v>
      </c>
      <c r="I92" s="217" t="str">
        <f>IF('E-Gilts'!A92&lt;'Adj-Gilts'!$B$10,'E-Gilts'!A92," ")</f>
        <v xml:space="preserve"> </v>
      </c>
      <c r="J92" s="25" t="str">
        <f>IF('E-Gilts'!A92&lt;'Adj-Gilts'!$B$10,'E-Gilts'!J92," ")</f>
        <v xml:space="preserve"> </v>
      </c>
      <c r="K92" s="27" t="str">
        <f>IF('E-Gilts'!A92&lt;'Adj-Gilts'!$B$10,'E-Gilts'!N92," ")</f>
        <v xml:space="preserve"> </v>
      </c>
      <c r="L92" s="115" t="str">
        <f>IF('E-Gilts'!A92&lt;'Adj-Gilts'!$B$10,'E-Gilts'!K92," ")</f>
        <v xml:space="preserve"> </v>
      </c>
      <c r="M92" t="str">
        <f>IF('E-Gilts'!A92&lt;'Adj-Gilts'!$B$10,'E-Gilts'!M92," ")</f>
        <v xml:space="preserve"> </v>
      </c>
      <c r="N92" s="29" t="str">
        <f>IF('E-Gilts'!A92&lt;'Adj-Gilts'!$B$10,1/L92," ")</f>
        <v xml:space="preserve"> </v>
      </c>
      <c r="O92" s="19"/>
      <c r="P92" s="30" t="str">
        <f t="shared" si="5"/>
        <v/>
      </c>
      <c r="Q92" s="30" t="str">
        <f t="shared" si="6"/>
        <v/>
      </c>
      <c r="R92" s="30" t="str">
        <f t="shared" si="7"/>
        <v/>
      </c>
    </row>
    <row r="93" spans="1:18" x14ac:dyDescent="0.25">
      <c r="A93" s="27" t="str">
        <f>IF('E-Gilts'!A93&lt;'Adj-Gilts'!$B$10,'E-Gilts'!B93," ")</f>
        <v xml:space="preserve"> </v>
      </c>
      <c r="B93" s="25" t="str">
        <f>IF('E-Gilts'!A93&lt;'Adj-Gilts'!$B$10,'E-Gilts'!A93," ")</f>
        <v xml:space="preserve"> </v>
      </c>
      <c r="C93" s="25" t="str">
        <f>IF('E-Gilts'!A93&lt;'Adj-Gilts'!$B$10,'E-Gilts'!C93," ")</f>
        <v xml:space="preserve"> </v>
      </c>
      <c r="D93" s="27" t="str">
        <f>IF('E-Gilts'!A93&lt;'Adj-Gilts'!$B$10,'E-Gilts'!G93," ")</f>
        <v xml:space="preserve"> </v>
      </c>
      <c r="E93" s="26" t="str">
        <f>IF('E-Gilts'!A93&lt;'Adj-Gilts'!$B$10,'E-Gilts'!D93," ")</f>
        <v xml:space="preserve"> </v>
      </c>
      <c r="F93" s="26"/>
      <c r="G93" s="216" t="str">
        <f t="shared" si="4"/>
        <v xml:space="preserve"> </v>
      </c>
      <c r="H93" s="27" t="str">
        <f>IF('E-Gilts'!A93&lt;'Adj-Gilts'!$B$10,'E-Gilts'!I93," ")</f>
        <v xml:space="preserve"> </v>
      </c>
      <c r="I93" s="217" t="str">
        <f>IF('E-Gilts'!A93&lt;'Adj-Gilts'!$B$10,'E-Gilts'!A93," ")</f>
        <v xml:space="preserve"> </v>
      </c>
      <c r="J93" s="25" t="str">
        <f>IF('E-Gilts'!A93&lt;'Adj-Gilts'!$B$10,'E-Gilts'!J93," ")</f>
        <v xml:space="preserve"> </v>
      </c>
      <c r="K93" s="27" t="str">
        <f>IF('E-Gilts'!A93&lt;'Adj-Gilts'!$B$10,'E-Gilts'!N93," ")</f>
        <v xml:space="preserve"> </v>
      </c>
      <c r="L93" s="115" t="str">
        <f>IF('E-Gilts'!A93&lt;'Adj-Gilts'!$B$10,'E-Gilts'!K93," ")</f>
        <v xml:space="preserve"> </v>
      </c>
      <c r="M93" t="str">
        <f>IF('E-Gilts'!A93&lt;'Adj-Gilts'!$B$10,'E-Gilts'!M93," ")</f>
        <v xml:space="preserve"> </v>
      </c>
      <c r="N93" s="29" t="str">
        <f>IF('E-Gilts'!A93&lt;'Adj-Gilts'!$B$10,1/L93," ")</f>
        <v xml:space="preserve"> </v>
      </c>
      <c r="O93" s="19"/>
      <c r="P93" s="30" t="str">
        <f t="shared" si="5"/>
        <v/>
      </c>
      <c r="Q93" s="30" t="str">
        <f t="shared" si="6"/>
        <v/>
      </c>
      <c r="R93" s="30" t="str">
        <f t="shared" si="7"/>
        <v/>
      </c>
    </row>
    <row r="94" spans="1:18" x14ac:dyDescent="0.25">
      <c r="A94" s="27" t="str">
        <f>IF('E-Gilts'!A94&lt;'Adj-Gilts'!$B$10,'E-Gilts'!B94," ")</f>
        <v xml:space="preserve"> </v>
      </c>
      <c r="B94" s="25" t="str">
        <f>IF('E-Gilts'!A94&lt;'Adj-Gilts'!$B$10,'E-Gilts'!A94," ")</f>
        <v xml:space="preserve"> </v>
      </c>
      <c r="C94" s="25" t="str">
        <f>IF('E-Gilts'!A94&lt;'Adj-Gilts'!$B$10,'E-Gilts'!C94," ")</f>
        <v xml:space="preserve"> </v>
      </c>
      <c r="D94" s="27" t="str">
        <f>IF('E-Gilts'!A94&lt;'Adj-Gilts'!$B$10,'E-Gilts'!G94," ")</f>
        <v xml:space="preserve"> </v>
      </c>
      <c r="E94" s="26" t="str">
        <f>IF('E-Gilts'!A94&lt;'Adj-Gilts'!$B$10,'E-Gilts'!D94," ")</f>
        <v xml:space="preserve"> </v>
      </c>
      <c r="F94" s="26"/>
      <c r="G94" s="216" t="str">
        <f t="shared" si="4"/>
        <v xml:space="preserve"> </v>
      </c>
      <c r="H94" s="27" t="str">
        <f>IF('E-Gilts'!A94&lt;'Adj-Gilts'!$B$10,'E-Gilts'!I94," ")</f>
        <v xml:space="preserve"> </v>
      </c>
      <c r="I94" s="217" t="str">
        <f>IF('E-Gilts'!A94&lt;'Adj-Gilts'!$B$10,'E-Gilts'!A94," ")</f>
        <v xml:space="preserve"> </v>
      </c>
      <c r="J94" s="25" t="str">
        <f>IF('E-Gilts'!A94&lt;'Adj-Gilts'!$B$10,'E-Gilts'!J94," ")</f>
        <v xml:space="preserve"> </v>
      </c>
      <c r="K94" s="27" t="str">
        <f>IF('E-Gilts'!A94&lt;'Adj-Gilts'!$B$10,'E-Gilts'!N94," ")</f>
        <v xml:space="preserve"> </v>
      </c>
      <c r="L94" s="115" t="str">
        <f>IF('E-Gilts'!A94&lt;'Adj-Gilts'!$B$10,'E-Gilts'!K94," ")</f>
        <v xml:space="preserve"> </v>
      </c>
      <c r="M94" t="str">
        <f>IF('E-Gilts'!A94&lt;'Adj-Gilts'!$B$10,'E-Gilts'!M94," ")</f>
        <v xml:space="preserve"> </v>
      </c>
      <c r="N94" s="29" t="str">
        <f>IF('E-Gilts'!A94&lt;'Adj-Gilts'!$B$10,1/L94," ")</f>
        <v xml:space="preserve"> </v>
      </c>
      <c r="O94" s="19"/>
      <c r="P94" s="30" t="str">
        <f t="shared" si="5"/>
        <v/>
      </c>
      <c r="Q94" s="30" t="str">
        <f t="shared" si="6"/>
        <v/>
      </c>
      <c r="R94" s="30" t="str">
        <f t="shared" si="7"/>
        <v/>
      </c>
    </row>
    <row r="95" spans="1:18" x14ac:dyDescent="0.25">
      <c r="A95" s="27" t="str">
        <f>IF('E-Gilts'!A95&lt;'Adj-Gilts'!$B$10,'E-Gilts'!B95," ")</f>
        <v xml:space="preserve"> </v>
      </c>
      <c r="B95" s="25" t="str">
        <f>IF('E-Gilts'!A95&lt;'Adj-Gilts'!$B$10,'E-Gilts'!A95," ")</f>
        <v xml:space="preserve"> </v>
      </c>
      <c r="C95" s="25" t="str">
        <f>IF('E-Gilts'!A95&lt;'Adj-Gilts'!$B$10,'E-Gilts'!C95," ")</f>
        <v xml:space="preserve"> </v>
      </c>
      <c r="D95" s="27" t="str">
        <f>IF('E-Gilts'!A95&lt;'Adj-Gilts'!$B$10,'E-Gilts'!G95," ")</f>
        <v xml:space="preserve"> </v>
      </c>
      <c r="E95" s="26" t="str">
        <f>IF('E-Gilts'!A95&lt;'Adj-Gilts'!$B$10,'E-Gilts'!D95," ")</f>
        <v xml:space="preserve"> </v>
      </c>
      <c r="F95" s="26"/>
      <c r="G95" s="216" t="str">
        <f t="shared" si="4"/>
        <v xml:space="preserve"> </v>
      </c>
      <c r="H95" s="27" t="str">
        <f>IF('E-Gilts'!A95&lt;'Adj-Gilts'!$B$10,'E-Gilts'!I95," ")</f>
        <v xml:space="preserve"> </v>
      </c>
      <c r="I95" s="217" t="str">
        <f>IF('E-Gilts'!A95&lt;'Adj-Gilts'!$B$10,'E-Gilts'!A95," ")</f>
        <v xml:space="preserve"> </v>
      </c>
      <c r="J95" s="25" t="str">
        <f>IF('E-Gilts'!A95&lt;'Adj-Gilts'!$B$10,'E-Gilts'!J95," ")</f>
        <v xml:space="preserve"> </v>
      </c>
      <c r="K95" s="27" t="str">
        <f>IF('E-Gilts'!A95&lt;'Adj-Gilts'!$B$10,'E-Gilts'!N95," ")</f>
        <v xml:space="preserve"> </v>
      </c>
      <c r="L95" s="115" t="str">
        <f>IF('E-Gilts'!A95&lt;'Adj-Gilts'!$B$10,'E-Gilts'!K95," ")</f>
        <v xml:space="preserve"> </v>
      </c>
      <c r="M95" t="str">
        <f>IF('E-Gilts'!A95&lt;'Adj-Gilts'!$B$10,'E-Gilts'!M95," ")</f>
        <v xml:space="preserve"> </v>
      </c>
      <c r="N95" s="29" t="str">
        <f>IF('E-Gilts'!A95&lt;'Adj-Gilts'!$B$10,1/L95," ")</f>
        <v xml:space="preserve"> </v>
      </c>
      <c r="O95" s="19"/>
      <c r="P95" s="30" t="str">
        <f t="shared" si="5"/>
        <v/>
      </c>
      <c r="Q95" s="30" t="str">
        <f t="shared" si="6"/>
        <v/>
      </c>
      <c r="R95" s="30" t="str">
        <f t="shared" si="7"/>
        <v/>
      </c>
    </row>
    <row r="96" spans="1:18" x14ac:dyDescent="0.25">
      <c r="A96" s="27" t="str">
        <f>IF('E-Gilts'!A96&lt;'Adj-Gilts'!$B$10,'E-Gilts'!B96," ")</f>
        <v xml:space="preserve"> </v>
      </c>
      <c r="B96" s="25" t="str">
        <f>IF('E-Gilts'!A96&lt;'Adj-Gilts'!$B$10,'E-Gilts'!A96," ")</f>
        <v xml:space="preserve"> </v>
      </c>
      <c r="C96" s="25" t="str">
        <f>IF('E-Gilts'!A96&lt;'Adj-Gilts'!$B$10,'E-Gilts'!C96," ")</f>
        <v xml:space="preserve"> </v>
      </c>
      <c r="D96" s="27" t="str">
        <f>IF('E-Gilts'!A96&lt;'Adj-Gilts'!$B$10,'E-Gilts'!G96," ")</f>
        <v xml:space="preserve"> </v>
      </c>
      <c r="E96" s="26" t="str">
        <f>IF('E-Gilts'!A96&lt;'Adj-Gilts'!$B$10,'E-Gilts'!D96," ")</f>
        <v xml:space="preserve"> </v>
      </c>
      <c r="F96" s="26"/>
      <c r="G96" s="216" t="str">
        <f t="shared" si="4"/>
        <v xml:space="preserve"> </v>
      </c>
      <c r="H96" s="27" t="str">
        <f>IF('E-Gilts'!A96&lt;'Adj-Gilts'!$B$10,'E-Gilts'!I96," ")</f>
        <v xml:space="preserve"> </v>
      </c>
      <c r="I96" s="217" t="str">
        <f>IF('E-Gilts'!A96&lt;'Adj-Gilts'!$B$10,'E-Gilts'!A96," ")</f>
        <v xml:space="preserve"> </v>
      </c>
      <c r="J96" s="25" t="str">
        <f>IF('E-Gilts'!A96&lt;'Adj-Gilts'!$B$10,'E-Gilts'!J96," ")</f>
        <v xml:space="preserve"> </v>
      </c>
      <c r="K96" s="27" t="str">
        <f>IF('E-Gilts'!A96&lt;'Adj-Gilts'!$B$10,'E-Gilts'!N96," ")</f>
        <v xml:space="preserve"> </v>
      </c>
      <c r="L96" s="115" t="str">
        <f>IF('E-Gilts'!A96&lt;'Adj-Gilts'!$B$10,'E-Gilts'!K96," ")</f>
        <v xml:space="preserve"> </v>
      </c>
      <c r="M96" t="str">
        <f>IF('E-Gilts'!A96&lt;'Adj-Gilts'!$B$10,'E-Gilts'!M96," ")</f>
        <v xml:space="preserve"> </v>
      </c>
      <c r="N96" s="29" t="str">
        <f>IF('E-Gilts'!A96&lt;'Adj-Gilts'!$B$10,1/L96," ")</f>
        <v xml:space="preserve"> </v>
      </c>
      <c r="O96" s="19"/>
      <c r="P96" s="30" t="str">
        <f t="shared" si="5"/>
        <v/>
      </c>
      <c r="Q96" s="30" t="str">
        <f t="shared" si="6"/>
        <v/>
      </c>
      <c r="R96" s="30" t="str">
        <f t="shared" si="7"/>
        <v/>
      </c>
    </row>
    <row r="97" spans="1:18" x14ac:dyDescent="0.25">
      <c r="A97" s="27" t="str">
        <f>IF('E-Gilts'!A97&lt;'Adj-Gilts'!$B$10,'E-Gilts'!B97," ")</f>
        <v xml:space="preserve"> </v>
      </c>
      <c r="B97" s="25" t="str">
        <f>IF('E-Gilts'!A97&lt;'Adj-Gilts'!$B$10,'E-Gilts'!A97," ")</f>
        <v xml:space="preserve"> </v>
      </c>
      <c r="C97" s="25" t="str">
        <f>IF('E-Gilts'!A97&lt;'Adj-Gilts'!$B$10,'E-Gilts'!C97," ")</f>
        <v xml:space="preserve"> </v>
      </c>
      <c r="D97" s="27" t="str">
        <f>IF('E-Gilts'!A97&lt;'Adj-Gilts'!$B$10,'E-Gilts'!G97," ")</f>
        <v xml:space="preserve"> </v>
      </c>
      <c r="E97" s="26" t="str">
        <f>IF('E-Gilts'!A97&lt;'Adj-Gilts'!$B$10,'E-Gilts'!D97," ")</f>
        <v xml:space="preserve"> </v>
      </c>
      <c r="F97" s="26"/>
      <c r="G97" s="216" t="str">
        <f t="shared" si="4"/>
        <v xml:space="preserve"> </v>
      </c>
      <c r="H97" s="27" t="str">
        <f>IF('E-Gilts'!A97&lt;'Adj-Gilts'!$B$10,'E-Gilts'!I97," ")</f>
        <v xml:space="preserve"> </v>
      </c>
      <c r="I97" s="217" t="str">
        <f>IF('E-Gilts'!A97&lt;'Adj-Gilts'!$B$10,'E-Gilts'!A97," ")</f>
        <v xml:space="preserve"> </v>
      </c>
      <c r="J97" s="25" t="str">
        <f>IF('E-Gilts'!A97&lt;'Adj-Gilts'!$B$10,'E-Gilts'!J97," ")</f>
        <v xml:space="preserve"> </v>
      </c>
      <c r="K97" s="27" t="str">
        <f>IF('E-Gilts'!A97&lt;'Adj-Gilts'!$B$10,'E-Gilts'!N97," ")</f>
        <v xml:space="preserve"> </v>
      </c>
      <c r="L97" s="115" t="str">
        <f>IF('E-Gilts'!A97&lt;'Adj-Gilts'!$B$10,'E-Gilts'!K97," ")</f>
        <v xml:space="preserve"> </v>
      </c>
      <c r="M97" t="str">
        <f>IF('E-Gilts'!A97&lt;'Adj-Gilts'!$B$10,'E-Gilts'!M97," ")</f>
        <v xml:space="preserve"> </v>
      </c>
      <c r="N97" s="29" t="str">
        <f>IF('E-Gilts'!A97&lt;'Adj-Gilts'!$B$10,1/L97," ")</f>
        <v xml:space="preserve"> </v>
      </c>
      <c r="O97" s="19"/>
      <c r="P97" s="30" t="str">
        <f t="shared" si="5"/>
        <v/>
      </c>
      <c r="Q97" s="30" t="str">
        <f t="shared" si="6"/>
        <v/>
      </c>
      <c r="R97" s="30" t="str">
        <f t="shared" si="7"/>
        <v/>
      </c>
    </row>
    <row r="98" spans="1:18" x14ac:dyDescent="0.25">
      <c r="A98" s="27" t="str">
        <f>IF('E-Gilts'!A98&lt;'Adj-Gilts'!$B$10,'E-Gilts'!B98," ")</f>
        <v xml:space="preserve"> </v>
      </c>
      <c r="B98" s="25" t="str">
        <f>IF('E-Gilts'!A98&lt;'Adj-Gilts'!$B$10,'E-Gilts'!A98," ")</f>
        <v xml:space="preserve"> </v>
      </c>
      <c r="C98" s="25" t="str">
        <f>IF('E-Gilts'!A98&lt;'Adj-Gilts'!$B$10,'E-Gilts'!C98," ")</f>
        <v xml:space="preserve"> </v>
      </c>
      <c r="D98" s="27" t="str">
        <f>IF('E-Gilts'!A98&lt;'Adj-Gilts'!$B$10,'E-Gilts'!G98," ")</f>
        <v xml:space="preserve"> </v>
      </c>
      <c r="E98" s="26" t="str">
        <f>IF('E-Gilts'!A98&lt;'Adj-Gilts'!$B$10,'E-Gilts'!D98," ")</f>
        <v xml:space="preserve"> </v>
      </c>
      <c r="F98" s="26"/>
      <c r="G98" s="216" t="str">
        <f t="shared" si="4"/>
        <v xml:space="preserve"> </v>
      </c>
      <c r="H98" s="27" t="str">
        <f>IF('E-Gilts'!A98&lt;'Adj-Gilts'!$B$10,'E-Gilts'!I98," ")</f>
        <v xml:space="preserve"> </v>
      </c>
      <c r="I98" s="217" t="str">
        <f>IF('E-Gilts'!A98&lt;'Adj-Gilts'!$B$10,'E-Gilts'!A98," ")</f>
        <v xml:space="preserve"> </v>
      </c>
      <c r="J98" s="25" t="str">
        <f>IF('E-Gilts'!A98&lt;'Adj-Gilts'!$B$10,'E-Gilts'!J98," ")</f>
        <v xml:space="preserve"> </v>
      </c>
      <c r="K98" s="27" t="str">
        <f>IF('E-Gilts'!A98&lt;'Adj-Gilts'!$B$10,'E-Gilts'!N98," ")</f>
        <v xml:space="preserve"> </v>
      </c>
      <c r="L98" s="115" t="str">
        <f>IF('E-Gilts'!A98&lt;'Adj-Gilts'!$B$10,'E-Gilts'!K98," ")</f>
        <v xml:space="preserve"> </v>
      </c>
      <c r="M98" t="str">
        <f>IF('E-Gilts'!A98&lt;'Adj-Gilts'!$B$10,'E-Gilts'!M98," ")</f>
        <v xml:space="preserve"> </v>
      </c>
      <c r="N98" s="29" t="str">
        <f>IF('E-Gilts'!A98&lt;'Adj-Gilts'!$B$10,1/L98," ")</f>
        <v xml:space="preserve"> </v>
      </c>
      <c r="O98" s="19"/>
      <c r="P98" s="30" t="str">
        <f t="shared" si="5"/>
        <v/>
      </c>
      <c r="Q98" s="30" t="str">
        <f t="shared" si="6"/>
        <v/>
      </c>
      <c r="R98" s="30" t="str">
        <f t="shared" si="7"/>
        <v/>
      </c>
    </row>
    <row r="99" spans="1:18" x14ac:dyDescent="0.25">
      <c r="A99" s="27" t="str">
        <f>IF('E-Gilts'!A99&lt;'Adj-Gilts'!$B$10,'E-Gilts'!B99," ")</f>
        <v xml:space="preserve"> </v>
      </c>
      <c r="B99" s="25" t="str">
        <f>IF('E-Gilts'!A99&lt;'Adj-Gilts'!$B$10,'E-Gilts'!A99," ")</f>
        <v xml:space="preserve"> </v>
      </c>
      <c r="C99" s="25" t="str">
        <f>IF('E-Gilts'!A99&lt;'Adj-Gilts'!$B$10,'E-Gilts'!C99," ")</f>
        <v xml:space="preserve"> </v>
      </c>
      <c r="D99" s="27" t="str">
        <f>IF('E-Gilts'!A99&lt;'Adj-Gilts'!$B$10,'E-Gilts'!G99," ")</f>
        <v xml:space="preserve"> </v>
      </c>
      <c r="E99" s="26" t="str">
        <f>IF('E-Gilts'!A99&lt;'Adj-Gilts'!$B$10,'E-Gilts'!D99," ")</f>
        <v xml:space="preserve"> </v>
      </c>
      <c r="F99" s="26"/>
      <c r="G99" s="216" t="str">
        <f t="shared" si="4"/>
        <v xml:space="preserve"> </v>
      </c>
      <c r="H99" s="27" t="str">
        <f>IF('E-Gilts'!A99&lt;'Adj-Gilts'!$B$10,'E-Gilts'!I99," ")</f>
        <v xml:space="preserve"> </v>
      </c>
      <c r="I99" s="217" t="str">
        <f>IF('E-Gilts'!A99&lt;'Adj-Gilts'!$B$10,'E-Gilts'!A99," ")</f>
        <v xml:space="preserve"> </v>
      </c>
      <c r="J99" s="25" t="str">
        <f>IF('E-Gilts'!A99&lt;'Adj-Gilts'!$B$10,'E-Gilts'!J99," ")</f>
        <v xml:space="preserve"> </v>
      </c>
      <c r="K99" s="27" t="str">
        <f>IF('E-Gilts'!A99&lt;'Adj-Gilts'!$B$10,'E-Gilts'!N99," ")</f>
        <v xml:space="preserve"> </v>
      </c>
      <c r="L99" s="115" t="str">
        <f>IF('E-Gilts'!A99&lt;'Adj-Gilts'!$B$10,'E-Gilts'!K99," ")</f>
        <v xml:space="preserve"> </v>
      </c>
      <c r="M99" t="str">
        <f>IF('E-Gilts'!A99&lt;'Adj-Gilts'!$B$10,'E-Gilts'!M99," ")</f>
        <v xml:space="preserve"> </v>
      </c>
      <c r="N99" s="29" t="str">
        <f>IF('E-Gilts'!A99&lt;'Adj-Gilts'!$B$10,1/L99," ")</f>
        <v xml:space="preserve"> </v>
      </c>
      <c r="O99" s="19"/>
      <c r="P99" s="30" t="str">
        <f t="shared" si="5"/>
        <v/>
      </c>
      <c r="Q99" s="30" t="str">
        <f t="shared" si="6"/>
        <v/>
      </c>
      <c r="R99" s="30" t="str">
        <f t="shared" si="7"/>
        <v/>
      </c>
    </row>
    <row r="100" spans="1:18" x14ac:dyDescent="0.25">
      <c r="A100" s="27" t="str">
        <f>IF('E-Gilts'!A100&lt;'Adj-Gilts'!$B$10,'E-Gilts'!B100," ")</f>
        <v xml:space="preserve"> </v>
      </c>
      <c r="B100" s="25" t="str">
        <f>IF('E-Gilts'!A100&lt;'Adj-Gilts'!$B$10,'E-Gilts'!A100," ")</f>
        <v xml:space="preserve"> </v>
      </c>
      <c r="C100" s="25" t="str">
        <f>IF('E-Gilts'!A100&lt;'Adj-Gilts'!$B$10,'E-Gilts'!C100," ")</f>
        <v xml:space="preserve"> </v>
      </c>
      <c r="D100" s="27" t="str">
        <f>IF('E-Gilts'!A100&lt;'Adj-Gilts'!$B$10,'E-Gilts'!G100," ")</f>
        <v xml:space="preserve"> </v>
      </c>
      <c r="E100" s="26" t="str">
        <f>IF('E-Gilts'!A100&lt;'Adj-Gilts'!$B$10,'E-Gilts'!D100," ")</f>
        <v xml:space="preserve"> </v>
      </c>
      <c r="F100" s="26"/>
      <c r="G100" s="216" t="str">
        <f t="shared" si="4"/>
        <v xml:space="preserve"> </v>
      </c>
      <c r="H100" s="27" t="str">
        <f>IF('E-Gilts'!A100&lt;'Adj-Gilts'!$B$10,'E-Gilts'!I100," ")</f>
        <v xml:space="preserve"> </v>
      </c>
      <c r="I100" s="217" t="str">
        <f>IF('E-Gilts'!A100&lt;'Adj-Gilts'!$B$10,'E-Gilts'!A100," ")</f>
        <v xml:space="preserve"> </v>
      </c>
      <c r="J100" s="25" t="str">
        <f>IF('E-Gilts'!A100&lt;'Adj-Gilts'!$B$10,'E-Gilts'!J100," ")</f>
        <v xml:space="preserve"> </v>
      </c>
      <c r="K100" s="27" t="str">
        <f>IF('E-Gilts'!A100&lt;'Adj-Gilts'!$B$10,'E-Gilts'!N100," ")</f>
        <v xml:space="preserve"> </v>
      </c>
      <c r="L100" s="115" t="str">
        <f>IF('E-Gilts'!A100&lt;'Adj-Gilts'!$B$10,'E-Gilts'!K100," ")</f>
        <v xml:space="preserve"> </v>
      </c>
      <c r="M100" t="str">
        <f>IF('E-Gilts'!A100&lt;'Adj-Gilts'!$B$10,'E-Gilts'!M100," ")</f>
        <v xml:space="preserve"> </v>
      </c>
      <c r="N100" s="29" t="str">
        <f>IF('E-Gilts'!A100&lt;'Adj-Gilts'!$B$10,1/L100," ")</f>
        <v xml:space="preserve"> </v>
      </c>
      <c r="O100" s="19"/>
      <c r="P100" s="30" t="str">
        <f t="shared" si="5"/>
        <v/>
      </c>
      <c r="Q100" s="30" t="str">
        <f t="shared" si="6"/>
        <v/>
      </c>
      <c r="R100" s="30" t="str">
        <f t="shared" si="7"/>
        <v/>
      </c>
    </row>
    <row r="101" spans="1:18" x14ac:dyDescent="0.25">
      <c r="A101" s="27" t="str">
        <f>IF('E-Gilts'!A101&lt;'Adj-Gilts'!$B$10,'E-Gilts'!B101," ")</f>
        <v xml:space="preserve"> </v>
      </c>
      <c r="B101" s="25" t="str">
        <f>IF('E-Gilts'!A101&lt;'Adj-Gilts'!$B$10,'E-Gilts'!A101," ")</f>
        <v xml:space="preserve"> </v>
      </c>
      <c r="C101" s="25" t="str">
        <f>IF('E-Gilts'!A101&lt;'Adj-Gilts'!$B$10,'E-Gilts'!C101," ")</f>
        <v xml:space="preserve"> </v>
      </c>
      <c r="D101" s="27" t="str">
        <f>IF('E-Gilts'!A101&lt;'Adj-Gilts'!$B$10,'E-Gilts'!G101," ")</f>
        <v xml:space="preserve"> </v>
      </c>
      <c r="E101" s="26" t="str">
        <f>IF('E-Gilts'!A101&lt;'Adj-Gilts'!$B$10,'E-Gilts'!D101," ")</f>
        <v xml:space="preserve"> </v>
      </c>
      <c r="F101" s="26"/>
      <c r="G101" s="216" t="str">
        <f t="shared" si="4"/>
        <v xml:space="preserve"> </v>
      </c>
      <c r="H101" s="27" t="str">
        <f>IF('E-Gilts'!A101&lt;'Adj-Gilts'!$B$10,'E-Gilts'!I101," ")</f>
        <v xml:space="preserve"> </v>
      </c>
      <c r="I101" s="217" t="str">
        <f>IF('E-Gilts'!A101&lt;'Adj-Gilts'!$B$10,'E-Gilts'!A101," ")</f>
        <v xml:space="preserve"> </v>
      </c>
      <c r="J101" s="25" t="str">
        <f>IF('E-Gilts'!A101&lt;'Adj-Gilts'!$B$10,'E-Gilts'!J101," ")</f>
        <v xml:space="preserve"> </v>
      </c>
      <c r="K101" s="27" t="str">
        <f>IF('E-Gilts'!A101&lt;'Adj-Gilts'!$B$10,'E-Gilts'!N101," ")</f>
        <v xml:space="preserve"> </v>
      </c>
      <c r="L101" s="115" t="str">
        <f>IF('E-Gilts'!A101&lt;'Adj-Gilts'!$B$10,'E-Gilts'!K101," ")</f>
        <v xml:space="preserve"> </v>
      </c>
      <c r="M101" t="str">
        <f>IF('E-Gilts'!A101&lt;'Adj-Gilts'!$B$10,'E-Gilts'!M101," ")</f>
        <v xml:space="preserve"> </v>
      </c>
      <c r="N101" s="29" t="str">
        <f>IF('E-Gilts'!A101&lt;'Adj-Gilts'!$B$10,1/L101," ")</f>
        <v xml:space="preserve"> </v>
      </c>
      <c r="O101" s="19"/>
      <c r="P101" s="30" t="str">
        <f t="shared" si="5"/>
        <v/>
      </c>
      <c r="Q101" s="30" t="str">
        <f t="shared" si="6"/>
        <v/>
      </c>
      <c r="R101" s="30" t="str">
        <f t="shared" si="7"/>
        <v/>
      </c>
    </row>
    <row r="102" spans="1:18" x14ac:dyDescent="0.25">
      <c r="A102" s="27" t="str">
        <f>IF('E-Gilts'!A102&lt;'Adj-Gilts'!$B$10,'E-Gilts'!B102," ")</f>
        <v xml:space="preserve"> </v>
      </c>
      <c r="B102" s="25" t="str">
        <f>IF('E-Gilts'!A102&lt;'Adj-Gilts'!$B$10,'E-Gilts'!A102," ")</f>
        <v xml:space="preserve"> </v>
      </c>
      <c r="C102" s="25" t="str">
        <f>IF('E-Gilts'!A102&lt;'Adj-Gilts'!$B$10,'E-Gilts'!C102," ")</f>
        <v xml:space="preserve"> </v>
      </c>
      <c r="D102" s="27" t="str">
        <f>IF('E-Gilts'!A102&lt;'Adj-Gilts'!$B$10,'E-Gilts'!G102," ")</f>
        <v xml:space="preserve"> </v>
      </c>
      <c r="E102" s="26" t="str">
        <f>IF('E-Gilts'!A102&lt;'Adj-Gilts'!$B$10,'E-Gilts'!D102," ")</f>
        <v xml:space="preserve"> </v>
      </c>
      <c r="F102" s="26"/>
      <c r="G102" s="216" t="str">
        <f t="shared" si="4"/>
        <v xml:space="preserve"> </v>
      </c>
      <c r="H102" s="27" t="str">
        <f>IF('E-Gilts'!A102&lt;'Adj-Gilts'!$B$10,'E-Gilts'!I102," ")</f>
        <v xml:space="preserve"> </v>
      </c>
      <c r="I102" s="217" t="str">
        <f>IF('E-Gilts'!A102&lt;'Adj-Gilts'!$B$10,'E-Gilts'!A102," ")</f>
        <v xml:space="preserve"> </v>
      </c>
      <c r="J102" s="25" t="str">
        <f>IF('E-Gilts'!A102&lt;'Adj-Gilts'!$B$10,'E-Gilts'!J102," ")</f>
        <v xml:space="preserve"> </v>
      </c>
      <c r="K102" s="27" t="str">
        <f>IF('E-Gilts'!A102&lt;'Adj-Gilts'!$B$10,'E-Gilts'!N102," ")</f>
        <v xml:space="preserve"> </v>
      </c>
      <c r="L102" s="115" t="str">
        <f>IF('E-Gilts'!A102&lt;'Adj-Gilts'!$B$10,'E-Gilts'!K102," ")</f>
        <v xml:space="preserve"> </v>
      </c>
      <c r="M102" t="str">
        <f>IF('E-Gilts'!A102&lt;'Adj-Gilts'!$B$10,'E-Gilts'!M102," ")</f>
        <v xml:space="preserve"> </v>
      </c>
      <c r="N102" s="29" t="str">
        <f>IF('E-Gilts'!A102&lt;'Adj-Gilts'!$B$10,1/L102," ")</f>
        <v xml:space="preserve"> </v>
      </c>
      <c r="O102" s="19"/>
      <c r="P102" s="30" t="str">
        <f t="shared" si="5"/>
        <v/>
      </c>
      <c r="Q102" s="30" t="str">
        <f t="shared" si="6"/>
        <v/>
      </c>
      <c r="R102" s="30" t="str">
        <f t="shared" si="7"/>
        <v/>
      </c>
    </row>
    <row r="103" spans="1:18" x14ac:dyDescent="0.25">
      <c r="A103" s="27" t="str">
        <f>IF('E-Gilts'!A103&lt;'Adj-Gilts'!$B$10,'E-Gilts'!B103," ")</f>
        <v xml:space="preserve"> </v>
      </c>
      <c r="B103" s="25" t="str">
        <f>IF('E-Gilts'!A103&lt;'Adj-Gilts'!$B$10,'E-Gilts'!A103," ")</f>
        <v xml:space="preserve"> </v>
      </c>
      <c r="C103" s="25" t="str">
        <f>IF('E-Gilts'!A103&lt;'Adj-Gilts'!$B$10,'E-Gilts'!C103," ")</f>
        <v xml:space="preserve"> </v>
      </c>
      <c r="D103" s="27" t="str">
        <f>IF('E-Gilts'!A103&lt;'Adj-Gilts'!$B$10,'E-Gilts'!G103," ")</f>
        <v xml:space="preserve"> </v>
      </c>
      <c r="E103" s="26" t="str">
        <f>IF('E-Gilts'!A103&lt;'Adj-Gilts'!$B$10,'E-Gilts'!D103," ")</f>
        <v xml:space="preserve"> </v>
      </c>
      <c r="F103" s="26"/>
      <c r="G103" s="216" t="str">
        <f t="shared" si="4"/>
        <v xml:space="preserve"> </v>
      </c>
      <c r="H103" s="27" t="str">
        <f>IF('E-Gilts'!A103&lt;'Adj-Gilts'!$B$10,'E-Gilts'!I103," ")</f>
        <v xml:space="preserve"> </v>
      </c>
      <c r="I103" s="217" t="str">
        <f>IF('E-Gilts'!A103&lt;'Adj-Gilts'!$B$10,'E-Gilts'!A103," ")</f>
        <v xml:space="preserve"> </v>
      </c>
      <c r="J103" s="25" t="str">
        <f>IF('E-Gilts'!A103&lt;'Adj-Gilts'!$B$10,'E-Gilts'!J103," ")</f>
        <v xml:space="preserve"> </v>
      </c>
      <c r="K103" s="27" t="str">
        <f>IF('E-Gilts'!A103&lt;'Adj-Gilts'!$B$10,'E-Gilts'!N103," ")</f>
        <v xml:space="preserve"> </v>
      </c>
      <c r="L103" s="115" t="str">
        <f>IF('E-Gilts'!A103&lt;'Adj-Gilts'!$B$10,'E-Gilts'!K103," ")</f>
        <v xml:space="preserve"> </v>
      </c>
      <c r="M103" t="str">
        <f>IF('E-Gilts'!A103&lt;'Adj-Gilts'!$B$10,'E-Gilts'!M103," ")</f>
        <v xml:space="preserve"> </v>
      </c>
      <c r="N103" s="29" t="str">
        <f>IF('E-Gilts'!A103&lt;'Adj-Gilts'!$B$10,1/L103," ")</f>
        <v xml:space="preserve"> </v>
      </c>
      <c r="O103" s="19"/>
      <c r="P103" s="30" t="str">
        <f t="shared" si="5"/>
        <v/>
      </c>
      <c r="Q103" s="30" t="str">
        <f t="shared" si="6"/>
        <v/>
      </c>
      <c r="R103" s="30" t="str">
        <f t="shared" si="7"/>
        <v/>
      </c>
    </row>
    <row r="104" spans="1:18" x14ac:dyDescent="0.25">
      <c r="A104" s="27" t="str">
        <f>IF('E-Gilts'!A104&lt;'Adj-Gilts'!$B$10,'E-Gilts'!B104," ")</f>
        <v xml:space="preserve"> </v>
      </c>
      <c r="B104" s="25" t="str">
        <f>IF('E-Gilts'!A104&lt;'Adj-Gilts'!$B$10,'E-Gilts'!A104," ")</f>
        <v xml:space="preserve"> </v>
      </c>
      <c r="C104" s="25" t="str">
        <f>IF('E-Gilts'!A104&lt;'Adj-Gilts'!$B$10,'E-Gilts'!C104," ")</f>
        <v xml:space="preserve"> </v>
      </c>
      <c r="D104" s="27" t="str">
        <f>IF('E-Gilts'!A104&lt;'Adj-Gilts'!$B$10,'E-Gilts'!G104," ")</f>
        <v xml:space="preserve"> </v>
      </c>
      <c r="E104" s="26" t="str">
        <f>IF('E-Gilts'!A104&lt;'Adj-Gilts'!$B$10,'E-Gilts'!D104," ")</f>
        <v xml:space="preserve"> </v>
      </c>
      <c r="F104" s="26"/>
      <c r="G104" s="216" t="str">
        <f t="shared" si="4"/>
        <v xml:space="preserve"> </v>
      </c>
      <c r="H104" s="27" t="str">
        <f>IF('E-Gilts'!A104&lt;'Adj-Gilts'!$B$10,'E-Gilts'!I104," ")</f>
        <v xml:space="preserve"> </v>
      </c>
      <c r="I104" s="217" t="str">
        <f>IF('E-Gilts'!A104&lt;'Adj-Gilts'!$B$10,'E-Gilts'!A104," ")</f>
        <v xml:space="preserve"> </v>
      </c>
      <c r="J104" s="25" t="str">
        <f>IF('E-Gilts'!A104&lt;'Adj-Gilts'!$B$10,'E-Gilts'!J104," ")</f>
        <v xml:space="preserve"> </v>
      </c>
      <c r="K104" s="27" t="str">
        <f>IF('E-Gilts'!A104&lt;'Adj-Gilts'!$B$10,'E-Gilts'!N104," ")</f>
        <v xml:space="preserve"> </v>
      </c>
      <c r="L104" s="115" t="str">
        <f>IF('E-Gilts'!A104&lt;'Adj-Gilts'!$B$10,'E-Gilts'!K104," ")</f>
        <v xml:space="preserve"> </v>
      </c>
      <c r="M104" t="str">
        <f>IF('E-Gilts'!A104&lt;'Adj-Gilts'!$B$10,'E-Gilts'!M104," ")</f>
        <v xml:space="preserve"> </v>
      </c>
      <c r="N104" s="29" t="str">
        <f>IF('E-Gilts'!A104&lt;'Adj-Gilts'!$B$10,1/L104," ")</f>
        <v xml:space="preserve"> </v>
      </c>
      <c r="O104" s="19"/>
      <c r="P104" s="30" t="str">
        <f t="shared" si="5"/>
        <v/>
      </c>
      <c r="Q104" s="30" t="str">
        <f t="shared" si="6"/>
        <v/>
      </c>
      <c r="R104" s="30" t="str">
        <f t="shared" si="7"/>
        <v/>
      </c>
    </row>
    <row r="105" spans="1:18" x14ac:dyDescent="0.25">
      <c r="A105" s="27" t="str">
        <f>IF('E-Gilts'!A105&lt;'Adj-Gilts'!$B$10,'E-Gilts'!B105," ")</f>
        <v xml:space="preserve"> </v>
      </c>
      <c r="B105" s="25" t="str">
        <f>IF('E-Gilts'!A105&lt;'Adj-Gilts'!$B$10,'E-Gilts'!A105," ")</f>
        <v xml:space="preserve"> </v>
      </c>
      <c r="C105" s="25" t="str">
        <f>IF('E-Gilts'!A105&lt;'Adj-Gilts'!$B$10,'E-Gilts'!C105," ")</f>
        <v xml:space="preserve"> </v>
      </c>
      <c r="D105" s="27" t="str">
        <f>IF('E-Gilts'!A105&lt;'Adj-Gilts'!$B$10,'E-Gilts'!G105," ")</f>
        <v xml:space="preserve"> </v>
      </c>
      <c r="E105" s="26" t="str">
        <f>IF('E-Gilts'!A105&lt;'Adj-Gilts'!$B$10,'E-Gilts'!D105," ")</f>
        <v xml:space="preserve"> </v>
      </c>
      <c r="F105" s="26"/>
      <c r="G105" s="216" t="str">
        <f t="shared" si="4"/>
        <v xml:space="preserve"> </v>
      </c>
      <c r="H105" s="27" t="str">
        <f>IF('E-Gilts'!A105&lt;'Adj-Gilts'!$B$10,'E-Gilts'!I105," ")</f>
        <v xml:space="preserve"> </v>
      </c>
      <c r="I105" s="217" t="str">
        <f>IF('E-Gilts'!A105&lt;'Adj-Gilts'!$B$10,'E-Gilts'!A105," ")</f>
        <v xml:space="preserve"> </v>
      </c>
      <c r="J105" s="25" t="str">
        <f>IF('E-Gilts'!A105&lt;'Adj-Gilts'!$B$10,'E-Gilts'!J105," ")</f>
        <v xml:space="preserve"> </v>
      </c>
      <c r="K105" s="27" t="str">
        <f>IF('E-Gilts'!A105&lt;'Adj-Gilts'!$B$10,'E-Gilts'!N105," ")</f>
        <v xml:space="preserve"> </v>
      </c>
      <c r="L105" s="115" t="str">
        <f>IF('E-Gilts'!A105&lt;'Adj-Gilts'!$B$10,'E-Gilts'!K105," ")</f>
        <v xml:space="preserve"> </v>
      </c>
      <c r="M105" t="str">
        <f>IF('E-Gilts'!A105&lt;'Adj-Gilts'!$B$10,'E-Gilts'!M105," ")</f>
        <v xml:space="preserve"> </v>
      </c>
      <c r="N105" s="29" t="str">
        <f>IF('E-Gilts'!A105&lt;'Adj-Gilts'!$B$10,1/L105," ")</f>
        <v xml:space="preserve"> </v>
      </c>
      <c r="O105" s="19"/>
      <c r="P105" s="30" t="str">
        <f t="shared" si="5"/>
        <v/>
      </c>
      <c r="Q105" s="30" t="str">
        <f t="shared" si="6"/>
        <v/>
      </c>
      <c r="R105" s="30" t="str">
        <f t="shared" si="7"/>
        <v/>
      </c>
    </row>
    <row r="106" spans="1:18" x14ac:dyDescent="0.25">
      <c r="A106" s="27" t="str">
        <f>IF('E-Gilts'!A106&lt;'Adj-Gilts'!$B$10,'E-Gilts'!B106," ")</f>
        <v xml:space="preserve"> </v>
      </c>
      <c r="B106" s="25" t="str">
        <f>IF('E-Gilts'!A106&lt;'Adj-Gilts'!$B$10,'E-Gilts'!A106," ")</f>
        <v xml:space="preserve"> </v>
      </c>
      <c r="C106" s="25" t="str">
        <f>IF('E-Gilts'!A106&lt;'Adj-Gilts'!$B$10,'E-Gilts'!C106," ")</f>
        <v xml:space="preserve"> </v>
      </c>
      <c r="D106" s="27" t="str">
        <f>IF('E-Gilts'!A106&lt;'Adj-Gilts'!$B$10,'E-Gilts'!G106," ")</f>
        <v xml:space="preserve"> </v>
      </c>
      <c r="E106" s="26" t="str">
        <f>IF('E-Gilts'!A106&lt;'Adj-Gilts'!$B$10,'E-Gilts'!D106," ")</f>
        <v xml:space="preserve"> </v>
      </c>
      <c r="F106" s="26"/>
      <c r="G106" s="216" t="str">
        <f t="shared" si="4"/>
        <v xml:space="preserve"> </v>
      </c>
      <c r="H106" s="27" t="str">
        <f>IF('E-Gilts'!A106&lt;'Adj-Gilts'!$B$10,'E-Gilts'!I106," ")</f>
        <v xml:space="preserve"> </v>
      </c>
      <c r="I106" s="217" t="str">
        <f>IF('E-Gilts'!A106&lt;'Adj-Gilts'!$B$10,'E-Gilts'!A106," ")</f>
        <v xml:space="preserve"> </v>
      </c>
      <c r="J106" s="25" t="str">
        <f>IF('E-Gilts'!A106&lt;'Adj-Gilts'!$B$10,'E-Gilts'!J106," ")</f>
        <v xml:space="preserve"> </v>
      </c>
      <c r="K106" s="27" t="str">
        <f>IF('E-Gilts'!A106&lt;'Adj-Gilts'!$B$10,'E-Gilts'!N106," ")</f>
        <v xml:space="preserve"> </v>
      </c>
      <c r="L106" s="115" t="str">
        <f>IF('E-Gilts'!A106&lt;'Adj-Gilts'!$B$10,'E-Gilts'!K106," ")</f>
        <v xml:space="preserve"> </v>
      </c>
      <c r="M106" t="str">
        <f>IF('E-Gilts'!A106&lt;'Adj-Gilts'!$B$10,'E-Gilts'!M106," ")</f>
        <v xml:space="preserve"> </v>
      </c>
      <c r="N106" s="29" t="str">
        <f>IF('E-Gilts'!A106&lt;'Adj-Gilts'!$B$10,1/L106," ")</f>
        <v xml:space="preserve"> </v>
      </c>
      <c r="O106" s="19"/>
      <c r="P106" s="30" t="str">
        <f t="shared" si="5"/>
        <v/>
      </c>
      <c r="Q106" s="30" t="str">
        <f t="shared" si="6"/>
        <v/>
      </c>
      <c r="R106" s="30" t="str">
        <f t="shared" si="7"/>
        <v/>
      </c>
    </row>
    <row r="107" spans="1:18" x14ac:dyDescent="0.25">
      <c r="A107" s="27" t="str">
        <f>IF('E-Gilts'!A107&lt;'Adj-Gilts'!$B$10,'E-Gilts'!B107," ")</f>
        <v xml:space="preserve"> </v>
      </c>
      <c r="B107" s="25" t="str">
        <f>IF('E-Gilts'!A107&lt;'Adj-Gilts'!$B$10,'E-Gilts'!A107," ")</f>
        <v xml:space="preserve"> </v>
      </c>
      <c r="C107" s="25" t="str">
        <f>IF('E-Gilts'!A107&lt;'Adj-Gilts'!$B$10,'E-Gilts'!C107," ")</f>
        <v xml:space="preserve"> </v>
      </c>
      <c r="D107" s="27" t="str">
        <f>IF('E-Gilts'!A107&lt;'Adj-Gilts'!$B$10,'E-Gilts'!G107," ")</f>
        <v xml:space="preserve"> </v>
      </c>
      <c r="E107" s="26" t="str">
        <f>IF('E-Gilts'!A107&lt;'Adj-Gilts'!$B$10,'E-Gilts'!D107," ")</f>
        <v xml:space="preserve"> </v>
      </c>
      <c r="F107" s="26"/>
      <c r="G107" s="216" t="str">
        <f t="shared" si="4"/>
        <v xml:space="preserve"> </v>
      </c>
      <c r="H107" s="27" t="str">
        <f>IF('E-Gilts'!A107&lt;'Adj-Gilts'!$B$10,'E-Gilts'!I107," ")</f>
        <v xml:space="preserve"> </v>
      </c>
      <c r="I107" s="217" t="str">
        <f>IF('E-Gilts'!A107&lt;'Adj-Gilts'!$B$10,'E-Gilts'!A107," ")</f>
        <v xml:space="preserve"> </v>
      </c>
      <c r="J107" s="25" t="str">
        <f>IF('E-Gilts'!A107&lt;'Adj-Gilts'!$B$10,'E-Gilts'!J107," ")</f>
        <v xml:space="preserve"> </v>
      </c>
      <c r="K107" s="27" t="str">
        <f>IF('E-Gilts'!A107&lt;'Adj-Gilts'!$B$10,'E-Gilts'!N107," ")</f>
        <v xml:space="preserve"> </v>
      </c>
      <c r="L107" s="115" t="str">
        <f>IF('E-Gilts'!A107&lt;'Adj-Gilts'!$B$10,'E-Gilts'!K107," ")</f>
        <v xml:space="preserve"> </v>
      </c>
      <c r="M107" t="str">
        <f>IF('E-Gilts'!A107&lt;'Adj-Gilts'!$B$10,'E-Gilts'!M107," ")</f>
        <v xml:space="preserve"> </v>
      </c>
      <c r="N107" s="29" t="str">
        <f>IF('E-Gilts'!A107&lt;'Adj-Gilts'!$B$10,1/L107," ")</f>
        <v xml:space="preserve"> </v>
      </c>
      <c r="O107" s="19"/>
      <c r="P107" s="30" t="str">
        <f t="shared" si="5"/>
        <v/>
      </c>
      <c r="Q107" s="30" t="str">
        <f t="shared" si="6"/>
        <v/>
      </c>
      <c r="R107" s="30" t="str">
        <f t="shared" si="7"/>
        <v/>
      </c>
    </row>
    <row r="108" spans="1:18" x14ac:dyDescent="0.25">
      <c r="A108" s="27" t="str">
        <f>IF('E-Gilts'!A108&lt;'Adj-Gilts'!$B$10,'E-Gilts'!B108," ")</f>
        <v xml:space="preserve"> </v>
      </c>
      <c r="B108" s="25" t="str">
        <f>IF('E-Gilts'!A108&lt;'Adj-Gilts'!$B$10,'E-Gilts'!A108," ")</f>
        <v xml:space="preserve"> </v>
      </c>
      <c r="C108" s="25" t="str">
        <f>IF('E-Gilts'!A108&lt;'Adj-Gilts'!$B$10,'E-Gilts'!C108," ")</f>
        <v xml:space="preserve"> </v>
      </c>
      <c r="D108" s="27" t="str">
        <f>IF('E-Gilts'!A108&lt;'Adj-Gilts'!$B$10,'E-Gilts'!G108," ")</f>
        <v xml:space="preserve"> </v>
      </c>
      <c r="E108" s="26" t="str">
        <f>IF('E-Gilts'!A108&lt;'Adj-Gilts'!$B$10,'E-Gilts'!D108," ")</f>
        <v xml:space="preserve"> </v>
      </c>
      <c r="F108" s="26"/>
      <c r="G108" s="216" t="str">
        <f t="shared" si="4"/>
        <v xml:space="preserve"> </v>
      </c>
      <c r="H108" s="27" t="str">
        <f>IF('E-Gilts'!A108&lt;'Adj-Gilts'!$B$10,'E-Gilts'!I108," ")</f>
        <v xml:space="preserve"> </v>
      </c>
      <c r="I108" s="217" t="str">
        <f>IF('E-Gilts'!A108&lt;'Adj-Gilts'!$B$10,'E-Gilts'!A108," ")</f>
        <v xml:space="preserve"> </v>
      </c>
      <c r="J108" s="25" t="str">
        <f>IF('E-Gilts'!A108&lt;'Adj-Gilts'!$B$10,'E-Gilts'!J108," ")</f>
        <v xml:space="preserve"> </v>
      </c>
      <c r="K108" s="27" t="str">
        <f>IF('E-Gilts'!A108&lt;'Adj-Gilts'!$B$10,'E-Gilts'!N108," ")</f>
        <v xml:space="preserve"> </v>
      </c>
      <c r="L108" s="115" t="str">
        <f>IF('E-Gilts'!A108&lt;'Adj-Gilts'!$B$10,'E-Gilts'!K108," ")</f>
        <v xml:space="preserve"> </v>
      </c>
      <c r="M108" t="str">
        <f>IF('E-Gilts'!A108&lt;'Adj-Gilts'!$B$10,'E-Gilts'!M108," ")</f>
        <v xml:space="preserve"> </v>
      </c>
      <c r="N108" s="29" t="str">
        <f>IF('E-Gilts'!A108&lt;'Adj-Gilts'!$B$10,1/L108," ")</f>
        <v xml:space="preserve"> </v>
      </c>
      <c r="O108" s="19"/>
      <c r="P108" s="30" t="str">
        <f t="shared" si="5"/>
        <v/>
      </c>
      <c r="Q108" s="30" t="str">
        <f t="shared" si="6"/>
        <v/>
      </c>
      <c r="R108" s="30" t="str">
        <f t="shared" si="7"/>
        <v/>
      </c>
    </row>
    <row r="109" spans="1:18" x14ac:dyDescent="0.25">
      <c r="A109" s="27" t="str">
        <f>IF('E-Gilts'!A109&lt;'Adj-Gilts'!$B$10,'E-Gilts'!B109," ")</f>
        <v xml:space="preserve"> </v>
      </c>
      <c r="B109" s="25" t="str">
        <f>IF('E-Gilts'!A109&lt;'Adj-Gilts'!$B$10,'E-Gilts'!A109," ")</f>
        <v xml:space="preserve"> </v>
      </c>
      <c r="C109" s="25" t="str">
        <f>IF('E-Gilts'!A109&lt;'Adj-Gilts'!$B$10,'E-Gilts'!C109," ")</f>
        <v xml:space="preserve"> </v>
      </c>
      <c r="D109" s="27" t="str">
        <f>IF('E-Gilts'!A109&lt;'Adj-Gilts'!$B$10,'E-Gilts'!G109," ")</f>
        <v xml:space="preserve"> </v>
      </c>
      <c r="E109" s="26" t="str">
        <f>IF('E-Gilts'!A109&lt;'Adj-Gilts'!$B$10,'E-Gilts'!D109," ")</f>
        <v xml:space="preserve"> </v>
      </c>
      <c r="F109" s="26"/>
      <c r="G109" s="216" t="str">
        <f t="shared" si="4"/>
        <v xml:space="preserve"> </v>
      </c>
      <c r="H109" s="27" t="str">
        <f>IF('E-Gilts'!A109&lt;'Adj-Gilts'!$B$10,'E-Gilts'!I109," ")</f>
        <v xml:space="preserve"> </v>
      </c>
      <c r="I109" s="217" t="str">
        <f>IF('E-Gilts'!A109&lt;'Adj-Gilts'!$B$10,'E-Gilts'!A109," ")</f>
        <v xml:space="preserve"> </v>
      </c>
      <c r="J109" s="25" t="str">
        <f>IF('E-Gilts'!A109&lt;'Adj-Gilts'!$B$10,'E-Gilts'!J109," ")</f>
        <v xml:space="preserve"> </v>
      </c>
      <c r="K109" s="27" t="str">
        <f>IF('E-Gilts'!A109&lt;'Adj-Gilts'!$B$10,'E-Gilts'!N109," ")</f>
        <v xml:space="preserve"> </v>
      </c>
      <c r="L109" s="115" t="str">
        <f>IF('E-Gilts'!A109&lt;'Adj-Gilts'!$B$10,'E-Gilts'!K109," ")</f>
        <v xml:space="preserve"> </v>
      </c>
      <c r="M109" t="str">
        <f>IF('E-Gilts'!A109&lt;'Adj-Gilts'!$B$10,'E-Gilts'!M109," ")</f>
        <v xml:space="preserve"> </v>
      </c>
      <c r="N109" s="29" t="str">
        <f>IF('E-Gilts'!A109&lt;'Adj-Gilts'!$B$10,1/L109," ")</f>
        <v xml:space="preserve"> </v>
      </c>
      <c r="O109" s="19"/>
      <c r="P109" s="30" t="str">
        <f t="shared" si="5"/>
        <v/>
      </c>
      <c r="Q109" s="30" t="str">
        <f t="shared" si="6"/>
        <v/>
      </c>
      <c r="R109" s="30" t="str">
        <f t="shared" si="7"/>
        <v/>
      </c>
    </row>
    <row r="110" spans="1:18" x14ac:dyDescent="0.25">
      <c r="A110" s="27" t="str">
        <f>IF('E-Gilts'!A110&lt;'Adj-Gilts'!$B$10,'E-Gilts'!B110," ")</f>
        <v xml:space="preserve"> </v>
      </c>
      <c r="B110" s="25" t="str">
        <f>IF('E-Gilts'!A110&lt;'Adj-Gilts'!$B$10,'E-Gilts'!A110," ")</f>
        <v xml:space="preserve"> </v>
      </c>
      <c r="C110" s="25" t="str">
        <f>IF('E-Gilts'!A110&lt;'Adj-Gilts'!$B$10,'E-Gilts'!C110," ")</f>
        <v xml:space="preserve"> </v>
      </c>
      <c r="D110" s="27" t="str">
        <f>IF('E-Gilts'!A110&lt;'Adj-Gilts'!$B$10,'E-Gilts'!G110," ")</f>
        <v xml:space="preserve"> </v>
      </c>
      <c r="E110" s="26" t="str">
        <f>IF('E-Gilts'!A110&lt;'Adj-Gilts'!$B$10,'E-Gilts'!D110," ")</f>
        <v xml:space="preserve"> </v>
      </c>
      <c r="F110" s="26"/>
      <c r="G110" s="216" t="str">
        <f t="shared" si="4"/>
        <v xml:space="preserve"> </v>
      </c>
      <c r="H110" s="27" t="str">
        <f>IF('E-Gilts'!A110&lt;'Adj-Gilts'!$B$10,'E-Gilts'!I110," ")</f>
        <v xml:space="preserve"> </v>
      </c>
      <c r="I110" s="217" t="str">
        <f>IF('E-Gilts'!A110&lt;'Adj-Gilts'!$B$10,'E-Gilts'!A110," ")</f>
        <v xml:space="preserve"> </v>
      </c>
      <c r="J110" s="25" t="str">
        <f>IF('E-Gilts'!A110&lt;'Adj-Gilts'!$B$10,'E-Gilts'!J110," ")</f>
        <v xml:space="preserve"> </v>
      </c>
      <c r="K110" s="27" t="str">
        <f>IF('E-Gilts'!A110&lt;'Adj-Gilts'!$B$10,'E-Gilts'!N110," ")</f>
        <v xml:space="preserve"> </v>
      </c>
      <c r="L110" s="115" t="str">
        <f>IF('E-Gilts'!A110&lt;'Adj-Gilts'!$B$10,'E-Gilts'!K110," ")</f>
        <v xml:space="preserve"> </v>
      </c>
      <c r="M110" t="str">
        <f>IF('E-Gilts'!A110&lt;'Adj-Gilts'!$B$10,'E-Gilts'!M110," ")</f>
        <v xml:space="preserve"> </v>
      </c>
      <c r="N110" s="29" t="str">
        <f>IF('E-Gilts'!A110&lt;'Adj-Gilts'!$B$10,1/L110," ")</f>
        <v xml:space="preserve"> </v>
      </c>
      <c r="O110" s="19"/>
      <c r="P110" s="30" t="str">
        <f t="shared" si="5"/>
        <v/>
      </c>
      <c r="Q110" s="30" t="str">
        <f t="shared" si="6"/>
        <v/>
      </c>
      <c r="R110" s="30" t="str">
        <f t="shared" si="7"/>
        <v/>
      </c>
    </row>
    <row r="111" spans="1:18" x14ac:dyDescent="0.25">
      <c r="A111" s="27" t="str">
        <f>IF('E-Gilts'!A111&lt;'Adj-Gilts'!$B$10,'E-Gilts'!B111," ")</f>
        <v xml:space="preserve"> </v>
      </c>
      <c r="B111" s="25" t="str">
        <f>IF('E-Gilts'!A111&lt;'Adj-Gilts'!$B$10,'E-Gilts'!A111," ")</f>
        <v xml:space="preserve"> </v>
      </c>
      <c r="C111" s="25" t="str">
        <f>IF('E-Gilts'!A111&lt;'Adj-Gilts'!$B$10,'E-Gilts'!C111," ")</f>
        <v xml:space="preserve"> </v>
      </c>
      <c r="D111" s="27" t="str">
        <f>IF('E-Gilts'!A111&lt;'Adj-Gilts'!$B$10,'E-Gilts'!G111," ")</f>
        <v xml:space="preserve"> </v>
      </c>
      <c r="E111" s="26" t="str">
        <f>IF('E-Gilts'!A111&lt;'Adj-Gilts'!$B$10,'E-Gilts'!D111," ")</f>
        <v xml:space="preserve"> </v>
      </c>
      <c r="F111" s="26"/>
      <c r="G111" s="216" t="str">
        <f t="shared" si="4"/>
        <v xml:space="preserve"> </v>
      </c>
      <c r="H111" s="27" t="str">
        <f>IF('E-Gilts'!A111&lt;'Adj-Gilts'!$B$10,'E-Gilts'!I111," ")</f>
        <v xml:space="preserve"> </v>
      </c>
      <c r="I111" s="217" t="str">
        <f>IF('E-Gilts'!A111&lt;'Adj-Gilts'!$B$10,'E-Gilts'!A111," ")</f>
        <v xml:space="preserve"> </v>
      </c>
      <c r="J111" s="25" t="str">
        <f>IF('E-Gilts'!A111&lt;'Adj-Gilts'!$B$10,'E-Gilts'!J111," ")</f>
        <v xml:space="preserve"> </v>
      </c>
      <c r="K111" s="27" t="str">
        <f>IF('E-Gilts'!A111&lt;'Adj-Gilts'!$B$10,'E-Gilts'!N111," ")</f>
        <v xml:space="preserve"> </v>
      </c>
      <c r="L111" s="115" t="str">
        <f>IF('E-Gilts'!A111&lt;'Adj-Gilts'!$B$10,'E-Gilts'!K111," ")</f>
        <v xml:space="preserve"> </v>
      </c>
      <c r="M111" t="str">
        <f>IF('E-Gilts'!A111&lt;'Adj-Gilts'!$B$10,'E-Gilts'!M111," ")</f>
        <v xml:space="preserve"> </v>
      </c>
      <c r="N111" s="29" t="str">
        <f>IF('E-Gilts'!A111&lt;'Adj-Gilts'!$B$10,1/L111," ")</f>
        <v xml:space="preserve"> </v>
      </c>
      <c r="O111" s="19"/>
      <c r="P111" s="30" t="str">
        <f t="shared" si="5"/>
        <v/>
      </c>
      <c r="Q111" s="30" t="str">
        <f t="shared" si="6"/>
        <v/>
      </c>
      <c r="R111" s="30" t="str">
        <f t="shared" si="7"/>
        <v/>
      </c>
    </row>
    <row r="112" spans="1:18" x14ac:dyDescent="0.25">
      <c r="A112" s="27" t="str">
        <f>IF('E-Gilts'!A112&lt;'Adj-Gilts'!$B$10,'E-Gilts'!B112," ")</f>
        <v xml:space="preserve"> </v>
      </c>
      <c r="B112" s="25" t="str">
        <f>IF('E-Gilts'!A112&lt;'Adj-Gilts'!$B$10,'E-Gilts'!A112," ")</f>
        <v xml:space="preserve"> </v>
      </c>
      <c r="C112" s="25" t="str">
        <f>IF('E-Gilts'!A112&lt;'Adj-Gilts'!$B$10,'E-Gilts'!C112," ")</f>
        <v xml:space="preserve"> </v>
      </c>
      <c r="D112" s="27" t="str">
        <f>IF('E-Gilts'!A112&lt;'Adj-Gilts'!$B$10,'E-Gilts'!G112," ")</f>
        <v xml:space="preserve"> </v>
      </c>
      <c r="E112" s="26" t="str">
        <f>IF('E-Gilts'!A112&lt;'Adj-Gilts'!$B$10,'E-Gilts'!D112," ")</f>
        <v xml:space="preserve"> </v>
      </c>
      <c r="F112" s="26"/>
      <c r="G112" s="216" t="str">
        <f t="shared" si="4"/>
        <v xml:space="preserve"> </v>
      </c>
      <c r="H112" s="27" t="str">
        <f>IF('E-Gilts'!A112&lt;'Adj-Gilts'!$B$10,'E-Gilts'!I112," ")</f>
        <v xml:space="preserve"> </v>
      </c>
      <c r="I112" s="217" t="str">
        <f>IF('E-Gilts'!A112&lt;'Adj-Gilts'!$B$10,'E-Gilts'!A112," ")</f>
        <v xml:space="preserve"> </v>
      </c>
      <c r="J112" s="25" t="str">
        <f>IF('E-Gilts'!A112&lt;'Adj-Gilts'!$B$10,'E-Gilts'!J112," ")</f>
        <v xml:space="preserve"> </v>
      </c>
      <c r="K112" s="27" t="str">
        <f>IF('E-Gilts'!A112&lt;'Adj-Gilts'!$B$10,'E-Gilts'!N112," ")</f>
        <v xml:space="preserve"> </v>
      </c>
      <c r="L112" s="115" t="str">
        <f>IF('E-Gilts'!A112&lt;'Adj-Gilts'!$B$10,'E-Gilts'!K112," ")</f>
        <v xml:space="preserve"> </v>
      </c>
      <c r="M112" t="str">
        <f>IF('E-Gilts'!A112&lt;'Adj-Gilts'!$B$10,'E-Gilts'!M112," ")</f>
        <v xml:space="preserve"> </v>
      </c>
      <c r="N112" s="29" t="str">
        <f>IF('E-Gilts'!A112&lt;'Adj-Gilts'!$B$10,1/L112," ")</f>
        <v xml:space="preserve"> </v>
      </c>
      <c r="O112" s="19"/>
      <c r="P112" s="30" t="str">
        <f t="shared" si="5"/>
        <v/>
      </c>
      <c r="Q112" s="30" t="str">
        <f t="shared" si="6"/>
        <v/>
      </c>
      <c r="R112" s="30" t="str">
        <f t="shared" si="7"/>
        <v/>
      </c>
    </row>
    <row r="113" spans="1:18" x14ac:dyDescent="0.25">
      <c r="A113" s="27" t="str">
        <f>IF('E-Gilts'!A113&lt;'Adj-Gilts'!$B$10,'E-Gilts'!B113," ")</f>
        <v xml:space="preserve"> </v>
      </c>
      <c r="B113" s="25" t="str">
        <f>IF('E-Gilts'!A113&lt;'Adj-Gilts'!$B$10,'E-Gilts'!A113," ")</f>
        <v xml:space="preserve"> </v>
      </c>
      <c r="C113" s="25" t="str">
        <f>IF('E-Gilts'!A113&lt;'Adj-Gilts'!$B$10,'E-Gilts'!C113," ")</f>
        <v xml:space="preserve"> </v>
      </c>
      <c r="D113" s="27" t="str">
        <f>IF('E-Gilts'!A113&lt;'Adj-Gilts'!$B$10,'E-Gilts'!G113," ")</f>
        <v xml:space="preserve"> </v>
      </c>
      <c r="E113" s="26" t="str">
        <f>IF('E-Gilts'!A113&lt;'Adj-Gilts'!$B$10,'E-Gilts'!D113," ")</f>
        <v xml:space="preserve"> </v>
      </c>
      <c r="F113" s="26"/>
      <c r="G113" s="216" t="str">
        <f t="shared" si="4"/>
        <v xml:space="preserve"> </v>
      </c>
      <c r="H113" s="27" t="str">
        <f>IF('E-Gilts'!A113&lt;'Adj-Gilts'!$B$10,'E-Gilts'!I113," ")</f>
        <v xml:space="preserve"> </v>
      </c>
      <c r="I113" s="217" t="str">
        <f>IF('E-Gilts'!A113&lt;'Adj-Gilts'!$B$10,'E-Gilts'!A113," ")</f>
        <v xml:space="preserve"> </v>
      </c>
      <c r="J113" s="25" t="str">
        <f>IF('E-Gilts'!A113&lt;'Adj-Gilts'!$B$10,'E-Gilts'!J113," ")</f>
        <v xml:space="preserve"> </v>
      </c>
      <c r="K113" s="27" t="str">
        <f>IF('E-Gilts'!A113&lt;'Adj-Gilts'!$B$10,'E-Gilts'!N113," ")</f>
        <v xml:space="preserve"> </v>
      </c>
      <c r="L113" s="115" t="str">
        <f>IF('E-Gilts'!A113&lt;'Adj-Gilts'!$B$10,'E-Gilts'!K113," ")</f>
        <v xml:space="preserve"> </v>
      </c>
      <c r="M113" t="str">
        <f>IF('E-Gilts'!A113&lt;'Adj-Gilts'!$B$10,'E-Gilts'!M113," ")</f>
        <v xml:space="preserve"> </v>
      </c>
      <c r="N113" s="29" t="str">
        <f>IF('E-Gilts'!A113&lt;'Adj-Gilts'!$B$10,1/L113," ")</f>
        <v xml:space="preserve"> </v>
      </c>
      <c r="O113" s="19"/>
      <c r="P113" s="30" t="str">
        <f t="shared" si="5"/>
        <v/>
      </c>
      <c r="Q113" s="30" t="str">
        <f t="shared" si="6"/>
        <v/>
      </c>
      <c r="R113" s="30" t="str">
        <f t="shared" si="7"/>
        <v/>
      </c>
    </row>
    <row r="114" spans="1:18" x14ac:dyDescent="0.25">
      <c r="A114" s="27" t="str">
        <f>IF('E-Gilts'!A114&lt;'Adj-Gilts'!$B$10,'E-Gilts'!B114," ")</f>
        <v xml:space="preserve"> </v>
      </c>
      <c r="B114" s="25" t="str">
        <f>IF('E-Gilts'!A114&lt;'Adj-Gilts'!$B$10,'E-Gilts'!A114," ")</f>
        <v xml:space="preserve"> </v>
      </c>
      <c r="C114" s="25" t="str">
        <f>IF('E-Gilts'!A114&lt;'Adj-Gilts'!$B$10,'E-Gilts'!C114," ")</f>
        <v xml:space="preserve"> </v>
      </c>
      <c r="D114" s="27" t="str">
        <f>IF('E-Gilts'!A114&lt;'Adj-Gilts'!$B$10,'E-Gilts'!G114," ")</f>
        <v xml:space="preserve"> </v>
      </c>
      <c r="E114" s="26" t="str">
        <f>IF('E-Gilts'!A114&lt;'Adj-Gilts'!$B$10,'E-Gilts'!D114," ")</f>
        <v xml:space="preserve"> </v>
      </c>
      <c r="F114" s="26"/>
      <c r="G114" s="216" t="str">
        <f t="shared" si="4"/>
        <v xml:space="preserve"> </v>
      </c>
      <c r="H114" s="27" t="str">
        <f>IF('E-Gilts'!A114&lt;'Adj-Gilts'!$B$10,'E-Gilts'!I114," ")</f>
        <v xml:space="preserve"> </v>
      </c>
      <c r="I114" s="217" t="str">
        <f>IF('E-Gilts'!A114&lt;'Adj-Gilts'!$B$10,'E-Gilts'!A114," ")</f>
        <v xml:space="preserve"> </v>
      </c>
      <c r="J114" s="25" t="str">
        <f>IF('E-Gilts'!A114&lt;'Adj-Gilts'!$B$10,'E-Gilts'!J114," ")</f>
        <v xml:space="preserve"> </v>
      </c>
      <c r="K114" s="27" t="str">
        <f>IF('E-Gilts'!A114&lt;'Adj-Gilts'!$B$10,'E-Gilts'!N114," ")</f>
        <v xml:space="preserve"> </v>
      </c>
      <c r="L114" s="115" t="str">
        <f>IF('E-Gilts'!A114&lt;'Adj-Gilts'!$B$10,'E-Gilts'!K114," ")</f>
        <v xml:space="preserve"> </v>
      </c>
      <c r="M114" t="str">
        <f>IF('E-Gilts'!A114&lt;'Adj-Gilts'!$B$10,'E-Gilts'!M114," ")</f>
        <v xml:space="preserve"> </v>
      </c>
      <c r="N114" s="29" t="str">
        <f>IF('E-Gilts'!A114&lt;'Adj-Gilts'!$B$10,1/L114," ")</f>
        <v xml:space="preserve"> </v>
      </c>
      <c r="O114" s="19"/>
      <c r="P114" s="30" t="str">
        <f t="shared" si="5"/>
        <v/>
      </c>
      <c r="Q114" s="30" t="str">
        <f t="shared" si="6"/>
        <v/>
      </c>
      <c r="R114" s="30" t="str">
        <f t="shared" si="7"/>
        <v/>
      </c>
    </row>
    <row r="115" spans="1:18" x14ac:dyDescent="0.25">
      <c r="A115" s="27" t="str">
        <f>IF('E-Gilts'!A115&lt;'Adj-Gilts'!$B$10,'E-Gilts'!B115," ")</f>
        <v xml:space="preserve"> </v>
      </c>
      <c r="B115" s="25" t="str">
        <f>IF('E-Gilts'!A115&lt;'Adj-Gilts'!$B$10,'E-Gilts'!A115," ")</f>
        <v xml:space="preserve"> </v>
      </c>
      <c r="C115" s="25" t="str">
        <f>IF('E-Gilts'!A115&lt;'Adj-Gilts'!$B$10,'E-Gilts'!C115," ")</f>
        <v xml:space="preserve"> </v>
      </c>
      <c r="D115" s="27" t="str">
        <f>IF('E-Gilts'!A115&lt;'Adj-Gilts'!$B$10,'E-Gilts'!G115," ")</f>
        <v xml:space="preserve"> </v>
      </c>
      <c r="E115" s="26" t="str">
        <f>IF('E-Gilts'!A115&lt;'Adj-Gilts'!$B$10,'E-Gilts'!D115," ")</f>
        <v xml:space="preserve"> </v>
      </c>
      <c r="F115" s="26"/>
      <c r="G115" s="216" t="str">
        <f t="shared" si="4"/>
        <v xml:space="preserve"> </v>
      </c>
      <c r="H115" s="27" t="str">
        <f>IF('E-Gilts'!A115&lt;'Adj-Gilts'!$B$10,'E-Gilts'!I115," ")</f>
        <v xml:space="preserve"> </v>
      </c>
      <c r="I115" s="217" t="str">
        <f>IF('E-Gilts'!A115&lt;'Adj-Gilts'!$B$10,'E-Gilts'!A115," ")</f>
        <v xml:space="preserve"> </v>
      </c>
      <c r="J115" s="25" t="str">
        <f>IF('E-Gilts'!A115&lt;'Adj-Gilts'!$B$10,'E-Gilts'!J115," ")</f>
        <v xml:space="preserve"> </v>
      </c>
      <c r="K115" s="27" t="str">
        <f>IF('E-Gilts'!A115&lt;'Adj-Gilts'!$B$10,'E-Gilts'!N115," ")</f>
        <v xml:space="preserve"> </v>
      </c>
      <c r="L115" s="115" t="str">
        <f>IF('E-Gilts'!A115&lt;'Adj-Gilts'!$B$10,'E-Gilts'!K115," ")</f>
        <v xml:space="preserve"> </v>
      </c>
      <c r="M115" t="str">
        <f>IF('E-Gilts'!A115&lt;'Adj-Gilts'!$B$10,'E-Gilts'!M115," ")</f>
        <v xml:space="preserve"> </v>
      </c>
      <c r="N115" s="29" t="str">
        <f>IF('E-Gilts'!A115&lt;'Adj-Gilts'!$B$10,1/L115," ")</f>
        <v xml:space="preserve"> </v>
      </c>
      <c r="O115" s="19"/>
      <c r="P115" s="30" t="str">
        <f t="shared" si="5"/>
        <v/>
      </c>
      <c r="Q115" s="30" t="str">
        <f t="shared" si="6"/>
        <v/>
      </c>
      <c r="R115" s="30" t="str">
        <f t="shared" si="7"/>
        <v/>
      </c>
    </row>
    <row r="116" spans="1:18" x14ac:dyDescent="0.25">
      <c r="A116" s="27" t="str">
        <f>IF('E-Gilts'!A116&lt;'Adj-Gilts'!$B$10,'E-Gilts'!B116," ")</f>
        <v xml:space="preserve"> </v>
      </c>
      <c r="B116" s="25" t="str">
        <f>IF('E-Gilts'!A116&lt;'Adj-Gilts'!$B$10,'E-Gilts'!A116," ")</f>
        <v xml:space="preserve"> </v>
      </c>
      <c r="C116" s="25" t="str">
        <f>IF('E-Gilts'!A116&lt;'Adj-Gilts'!$B$10,'E-Gilts'!C116," ")</f>
        <v xml:space="preserve"> </v>
      </c>
      <c r="D116" s="27" t="str">
        <f>IF('E-Gilts'!A116&lt;'Adj-Gilts'!$B$10,'E-Gilts'!G116," ")</f>
        <v xml:space="preserve"> </v>
      </c>
      <c r="E116" s="26" t="str">
        <f>IF('E-Gilts'!A116&lt;'Adj-Gilts'!$B$10,'E-Gilts'!D116," ")</f>
        <v xml:space="preserve"> </v>
      </c>
      <c r="F116" s="26"/>
      <c r="G116" s="216" t="str">
        <f t="shared" si="4"/>
        <v xml:space="preserve"> </v>
      </c>
      <c r="H116" s="27" t="str">
        <f>IF('E-Gilts'!A116&lt;'Adj-Gilts'!$B$10,'E-Gilts'!I116," ")</f>
        <v xml:space="preserve"> </v>
      </c>
      <c r="I116" s="217" t="str">
        <f>IF('E-Gilts'!A116&lt;'Adj-Gilts'!$B$10,'E-Gilts'!A116," ")</f>
        <v xml:space="preserve"> </v>
      </c>
      <c r="J116" s="25" t="str">
        <f>IF('E-Gilts'!A116&lt;'Adj-Gilts'!$B$10,'E-Gilts'!J116," ")</f>
        <v xml:space="preserve"> </v>
      </c>
      <c r="K116" s="27" t="str">
        <f>IF('E-Gilts'!A116&lt;'Adj-Gilts'!$B$10,'E-Gilts'!N116," ")</f>
        <v xml:space="preserve"> </v>
      </c>
      <c r="L116" s="115" t="str">
        <f>IF('E-Gilts'!A116&lt;'Adj-Gilts'!$B$10,'E-Gilts'!K116," ")</f>
        <v xml:space="preserve"> </v>
      </c>
      <c r="M116" t="str">
        <f>IF('E-Gilts'!A116&lt;'Adj-Gilts'!$B$10,'E-Gilts'!M116," ")</f>
        <v xml:space="preserve"> </v>
      </c>
      <c r="N116" s="29" t="str">
        <f>IF('E-Gilts'!A116&lt;'Adj-Gilts'!$B$10,1/L116," ")</f>
        <v xml:space="preserve"> </v>
      </c>
      <c r="O116" s="19"/>
      <c r="P116" s="30" t="str">
        <f t="shared" si="5"/>
        <v/>
      </c>
      <c r="Q116" s="30" t="str">
        <f t="shared" si="6"/>
        <v/>
      </c>
      <c r="R116" s="30" t="str">
        <f t="shared" si="7"/>
        <v/>
      </c>
    </row>
    <row r="117" spans="1:18" x14ac:dyDescent="0.25">
      <c r="A117" s="27" t="str">
        <f>IF('E-Gilts'!A117&lt;'Adj-Gilts'!$B$10,'E-Gilts'!B117," ")</f>
        <v xml:space="preserve"> </v>
      </c>
      <c r="B117" s="25" t="str">
        <f>IF('E-Gilts'!A117&lt;'Adj-Gilts'!$B$10,'E-Gilts'!A117," ")</f>
        <v xml:space="preserve"> </v>
      </c>
      <c r="C117" s="25" t="str">
        <f>IF('E-Gilts'!A117&lt;'Adj-Gilts'!$B$10,'E-Gilts'!C117," ")</f>
        <v xml:space="preserve"> </v>
      </c>
      <c r="D117" s="27" t="str">
        <f>IF('E-Gilts'!A117&lt;'Adj-Gilts'!$B$10,'E-Gilts'!G117," ")</f>
        <v xml:space="preserve"> </v>
      </c>
      <c r="E117" s="26" t="str">
        <f>IF('E-Gilts'!A117&lt;'Adj-Gilts'!$B$10,'E-Gilts'!D117," ")</f>
        <v xml:space="preserve"> </v>
      </c>
      <c r="F117" s="26"/>
      <c r="G117" s="216" t="str">
        <f t="shared" si="4"/>
        <v xml:space="preserve"> </v>
      </c>
      <c r="H117" s="27" t="str">
        <f>IF('E-Gilts'!A117&lt;'Adj-Gilts'!$B$10,'E-Gilts'!I117," ")</f>
        <v xml:space="preserve"> </v>
      </c>
      <c r="I117" s="217" t="str">
        <f>IF('E-Gilts'!A117&lt;'Adj-Gilts'!$B$10,'E-Gilts'!A117," ")</f>
        <v xml:space="preserve"> </v>
      </c>
      <c r="J117" s="25" t="str">
        <f>IF('E-Gilts'!A117&lt;'Adj-Gilts'!$B$10,'E-Gilts'!J117," ")</f>
        <v xml:space="preserve"> </v>
      </c>
      <c r="K117" s="27" t="str">
        <f>IF('E-Gilts'!A117&lt;'Adj-Gilts'!$B$10,'E-Gilts'!N117," ")</f>
        <v xml:space="preserve"> </v>
      </c>
      <c r="L117" s="115" t="str">
        <f>IF('E-Gilts'!A117&lt;'Adj-Gilts'!$B$10,'E-Gilts'!K117," ")</f>
        <v xml:space="preserve"> </v>
      </c>
      <c r="M117" t="str">
        <f>IF('E-Gilts'!A117&lt;'Adj-Gilts'!$B$10,'E-Gilts'!M117," ")</f>
        <v xml:space="preserve"> </v>
      </c>
      <c r="N117" s="29" t="str">
        <f>IF('E-Gilts'!A117&lt;'Adj-Gilts'!$B$10,1/L117," ")</f>
        <v xml:space="preserve"> </v>
      </c>
      <c r="O117" s="19"/>
      <c r="P117" s="30" t="str">
        <f t="shared" si="5"/>
        <v/>
      </c>
      <c r="Q117" s="30" t="str">
        <f t="shared" si="6"/>
        <v/>
      </c>
      <c r="R117" s="30" t="str">
        <f t="shared" si="7"/>
        <v/>
      </c>
    </row>
    <row r="118" spans="1:18" x14ac:dyDescent="0.25">
      <c r="A118" s="27" t="str">
        <f>IF('E-Gilts'!A118&lt;'Adj-Gilts'!$B$10,'E-Gilts'!B118," ")</f>
        <v xml:space="preserve"> </v>
      </c>
      <c r="B118" s="25" t="str">
        <f>IF('E-Gilts'!A118&lt;'Adj-Gilts'!$B$10,'E-Gilts'!A118," ")</f>
        <v xml:space="preserve"> </v>
      </c>
      <c r="C118" s="25" t="str">
        <f>IF('E-Gilts'!A118&lt;'Adj-Gilts'!$B$10,'E-Gilts'!C118," ")</f>
        <v xml:space="preserve"> </v>
      </c>
      <c r="D118" s="27" t="str">
        <f>IF('E-Gilts'!A118&lt;'Adj-Gilts'!$B$10,'E-Gilts'!G118," ")</f>
        <v xml:space="preserve"> </v>
      </c>
      <c r="E118" s="26" t="str">
        <f>IF('E-Gilts'!A118&lt;'Adj-Gilts'!$B$10,'E-Gilts'!D118," ")</f>
        <v xml:space="preserve"> </v>
      </c>
      <c r="F118" s="26"/>
      <c r="G118" s="216" t="str">
        <f t="shared" si="4"/>
        <v xml:space="preserve"> </v>
      </c>
      <c r="H118" s="27" t="str">
        <f>IF('E-Gilts'!A118&lt;'Adj-Gilts'!$B$10,'E-Gilts'!I118," ")</f>
        <v xml:space="preserve"> </v>
      </c>
      <c r="I118" s="217" t="str">
        <f>IF('E-Gilts'!A118&lt;'Adj-Gilts'!$B$10,'E-Gilts'!A118," ")</f>
        <v xml:space="preserve"> </v>
      </c>
      <c r="J118" s="25" t="str">
        <f>IF('E-Gilts'!A118&lt;'Adj-Gilts'!$B$10,'E-Gilts'!J118," ")</f>
        <v xml:space="preserve"> </v>
      </c>
      <c r="K118" s="27" t="str">
        <f>IF('E-Gilts'!A118&lt;'Adj-Gilts'!$B$10,'E-Gilts'!N118," ")</f>
        <v xml:space="preserve"> </v>
      </c>
      <c r="L118" s="115" t="str">
        <f>IF('E-Gilts'!A118&lt;'Adj-Gilts'!$B$10,'E-Gilts'!K118," ")</f>
        <v xml:space="preserve"> </v>
      </c>
      <c r="M118" t="str">
        <f>IF('E-Gilts'!A118&lt;'Adj-Gilts'!$B$10,'E-Gilts'!M118," ")</f>
        <v xml:space="preserve"> </v>
      </c>
      <c r="N118" s="29" t="str">
        <f>IF('E-Gilts'!A118&lt;'Adj-Gilts'!$B$10,1/L118," ")</f>
        <v xml:space="preserve"> </v>
      </c>
      <c r="O118" s="19"/>
      <c r="P118" s="30" t="str">
        <f t="shared" si="5"/>
        <v/>
      </c>
      <c r="Q118" s="30" t="str">
        <f t="shared" si="6"/>
        <v/>
      </c>
      <c r="R118" s="30" t="str">
        <f t="shared" si="7"/>
        <v/>
      </c>
    </row>
    <row r="119" spans="1:18" x14ac:dyDescent="0.25">
      <c r="A119" s="27" t="str">
        <f>IF('E-Gilts'!A119&lt;'Adj-Gilts'!$B$10,'E-Gilts'!B119," ")</f>
        <v xml:space="preserve"> </v>
      </c>
      <c r="B119" s="25" t="str">
        <f>IF('E-Gilts'!A119&lt;'Adj-Gilts'!$B$10,'E-Gilts'!A119," ")</f>
        <v xml:space="preserve"> </v>
      </c>
      <c r="C119" s="25" t="str">
        <f>IF('E-Gilts'!A119&lt;'Adj-Gilts'!$B$10,'E-Gilts'!C119," ")</f>
        <v xml:space="preserve"> </v>
      </c>
      <c r="D119" s="27" t="str">
        <f>IF('E-Gilts'!A119&lt;'Adj-Gilts'!$B$10,'E-Gilts'!G119," ")</f>
        <v xml:space="preserve"> </v>
      </c>
      <c r="E119" s="26" t="str">
        <f>IF('E-Gilts'!A119&lt;'Adj-Gilts'!$B$10,'E-Gilts'!D119," ")</f>
        <v xml:space="preserve"> </v>
      </c>
      <c r="F119" s="26"/>
      <c r="G119" s="216" t="str">
        <f t="shared" si="4"/>
        <v xml:space="preserve"> </v>
      </c>
      <c r="H119" s="27" t="str">
        <f>IF('E-Gilts'!A119&lt;'Adj-Gilts'!$B$10,'E-Gilts'!I119," ")</f>
        <v xml:space="preserve"> </v>
      </c>
      <c r="I119" s="217" t="str">
        <f>IF('E-Gilts'!A119&lt;'Adj-Gilts'!$B$10,'E-Gilts'!A119," ")</f>
        <v xml:space="preserve"> </v>
      </c>
      <c r="J119" s="25" t="str">
        <f>IF('E-Gilts'!A119&lt;'Adj-Gilts'!$B$10,'E-Gilts'!J119," ")</f>
        <v xml:space="preserve"> </v>
      </c>
      <c r="K119" s="27" t="str">
        <f>IF('E-Gilts'!A119&lt;'Adj-Gilts'!$B$10,'E-Gilts'!N119," ")</f>
        <v xml:space="preserve"> </v>
      </c>
      <c r="L119" s="115" t="str">
        <f>IF('E-Gilts'!A119&lt;'Adj-Gilts'!$B$10,'E-Gilts'!K119," ")</f>
        <v xml:space="preserve"> </v>
      </c>
      <c r="M119" t="str">
        <f>IF('E-Gilts'!A119&lt;'Adj-Gilts'!$B$10,'E-Gilts'!M119," ")</f>
        <v xml:space="preserve"> </v>
      </c>
      <c r="N119" s="29" t="str">
        <f>IF('E-Gilts'!A119&lt;'Adj-Gilts'!$B$10,1/L119," ")</f>
        <v xml:space="preserve"> </v>
      </c>
      <c r="O119" s="19"/>
      <c r="P119" s="30" t="str">
        <f t="shared" si="5"/>
        <v/>
      </c>
      <c r="Q119" s="30" t="str">
        <f t="shared" si="6"/>
        <v/>
      </c>
      <c r="R119" s="30" t="str">
        <f t="shared" si="7"/>
        <v/>
      </c>
    </row>
    <row r="120" spans="1:18" x14ac:dyDescent="0.25">
      <c r="A120" s="27" t="str">
        <f>IF('E-Gilts'!A120&lt;'Adj-Gilts'!$B$10,'E-Gilts'!B120," ")</f>
        <v xml:space="preserve"> </v>
      </c>
      <c r="B120" s="25" t="str">
        <f>IF('E-Gilts'!A120&lt;'Adj-Gilts'!$B$10,'E-Gilts'!A120," ")</f>
        <v xml:space="preserve"> </v>
      </c>
      <c r="C120" s="25" t="str">
        <f>IF('E-Gilts'!A120&lt;'Adj-Gilts'!$B$10,'E-Gilts'!C120," ")</f>
        <v xml:space="preserve"> </v>
      </c>
      <c r="D120" s="27" t="str">
        <f>IF('E-Gilts'!A120&lt;'Adj-Gilts'!$B$10,'E-Gilts'!G120," ")</f>
        <v xml:space="preserve"> </v>
      </c>
      <c r="E120" s="26" t="str">
        <f>IF('E-Gilts'!A120&lt;'Adj-Gilts'!$B$10,'E-Gilts'!D120," ")</f>
        <v xml:space="preserve"> </v>
      </c>
      <c r="F120" s="26"/>
      <c r="G120" s="216" t="str">
        <f t="shared" si="4"/>
        <v xml:space="preserve"> </v>
      </c>
      <c r="H120" s="27" t="str">
        <f>IF('E-Gilts'!A120&lt;'Adj-Gilts'!$B$10,'E-Gilts'!I120," ")</f>
        <v xml:space="preserve"> </v>
      </c>
      <c r="I120" s="217" t="str">
        <f>IF('E-Gilts'!A120&lt;'Adj-Gilts'!$B$10,'E-Gilts'!A120," ")</f>
        <v xml:space="preserve"> </v>
      </c>
      <c r="J120" s="25" t="str">
        <f>IF('E-Gilts'!A120&lt;'Adj-Gilts'!$B$10,'E-Gilts'!J120," ")</f>
        <v xml:space="preserve"> </v>
      </c>
      <c r="K120" s="27" t="str">
        <f>IF('E-Gilts'!A120&lt;'Adj-Gilts'!$B$10,'E-Gilts'!N120," ")</f>
        <v xml:space="preserve"> </v>
      </c>
      <c r="L120" s="115" t="str">
        <f>IF('E-Gilts'!A120&lt;'Adj-Gilts'!$B$10,'E-Gilts'!K120," ")</f>
        <v xml:space="preserve"> </v>
      </c>
      <c r="M120" t="str">
        <f>IF('E-Gilts'!A120&lt;'Adj-Gilts'!$B$10,'E-Gilts'!M120," ")</f>
        <v xml:space="preserve"> </v>
      </c>
      <c r="N120" s="29" t="str">
        <f>IF('E-Gilts'!A120&lt;'Adj-Gilts'!$B$10,1/L120," ")</f>
        <v xml:space="preserve"> </v>
      </c>
      <c r="P120" s="30" t="str">
        <f t="shared" si="5"/>
        <v/>
      </c>
      <c r="Q120" s="30" t="str">
        <f t="shared" si="6"/>
        <v/>
      </c>
      <c r="R120" s="30" t="str">
        <f t="shared" si="7"/>
        <v/>
      </c>
    </row>
    <row r="121" spans="1:18" x14ac:dyDescent="0.25">
      <c r="A121" s="27" t="str">
        <f>IF('E-Gilts'!A121&lt;'Adj-Gilts'!$B$10,'E-Gilts'!B121," ")</f>
        <v xml:space="preserve"> </v>
      </c>
      <c r="B121" s="25" t="str">
        <f>IF('E-Gilts'!A121&lt;'Adj-Gilts'!$B$10,'E-Gilts'!A121," ")</f>
        <v xml:space="preserve"> </v>
      </c>
      <c r="C121" s="25" t="str">
        <f>IF('E-Gilts'!A121&lt;'Adj-Gilts'!$B$10,'E-Gilts'!C121," ")</f>
        <v xml:space="preserve"> </v>
      </c>
      <c r="D121" s="27" t="str">
        <f>IF('E-Gilts'!A121&lt;'Adj-Gilts'!$B$10,'E-Gilts'!G121," ")</f>
        <v xml:space="preserve"> </v>
      </c>
      <c r="E121" s="26" t="str">
        <f>IF('E-Gilts'!A121&lt;'Adj-Gilts'!$B$10,'E-Gilts'!D121," ")</f>
        <v xml:space="preserve"> </v>
      </c>
      <c r="F121" s="26"/>
      <c r="G121" s="216" t="str">
        <f t="shared" si="4"/>
        <v xml:space="preserve"> </v>
      </c>
      <c r="H121" s="27" t="str">
        <f>IF('E-Gilts'!A121&lt;'Adj-Gilts'!$B$10,'E-Gilts'!I121," ")</f>
        <v xml:space="preserve"> </v>
      </c>
      <c r="I121" s="217" t="str">
        <f>IF('E-Gilts'!A121&lt;'Adj-Gilts'!$B$10,'E-Gilts'!A121," ")</f>
        <v xml:space="preserve"> </v>
      </c>
      <c r="J121" s="25" t="str">
        <f>IF('E-Gilts'!A121&lt;'Adj-Gilts'!$B$10,'E-Gilts'!J121," ")</f>
        <v xml:space="preserve"> </v>
      </c>
      <c r="K121" s="27" t="str">
        <f>IF('E-Gilts'!A121&lt;'Adj-Gilts'!$B$10,'E-Gilts'!N121," ")</f>
        <v xml:space="preserve"> </v>
      </c>
      <c r="L121" s="115" t="str">
        <f>IF('E-Gilts'!A121&lt;'Adj-Gilts'!$B$10,'E-Gilts'!K121," ")</f>
        <v xml:space="preserve"> </v>
      </c>
      <c r="M121" t="str">
        <f>IF('E-Gilts'!A121&lt;'Adj-Gilts'!$B$10,'E-Gilts'!M121," ")</f>
        <v xml:space="preserve"> </v>
      </c>
      <c r="N121" s="29" t="str">
        <f>IF('E-Gilts'!A121&lt;'Adj-Gilts'!$B$10,1/L121," ")</f>
        <v xml:space="preserve"> </v>
      </c>
      <c r="P121" s="30" t="str">
        <f t="shared" si="5"/>
        <v/>
      </c>
      <c r="Q121" s="30" t="str">
        <f t="shared" si="6"/>
        <v/>
      </c>
      <c r="R121" s="30" t="str">
        <f t="shared" si="7"/>
        <v/>
      </c>
    </row>
    <row r="122" spans="1:18" x14ac:dyDescent="0.25">
      <c r="A122" s="27" t="str">
        <f>IF('E-Gilts'!A122&lt;'Adj-Gilts'!$B$10,'E-Gilts'!B122," ")</f>
        <v xml:space="preserve"> </v>
      </c>
      <c r="B122" s="25" t="str">
        <f>IF('E-Gilts'!A122&lt;'Adj-Gilts'!$B$10,'E-Gilts'!A122," ")</f>
        <v xml:space="preserve"> </v>
      </c>
      <c r="C122" s="25" t="str">
        <f>IF('E-Gilts'!A122&lt;'Adj-Gilts'!$B$10,'E-Gilts'!C122," ")</f>
        <v xml:space="preserve"> </v>
      </c>
      <c r="D122" s="27" t="str">
        <f>IF('E-Gilts'!A122&lt;'Adj-Gilts'!$B$10,'E-Gilts'!G122," ")</f>
        <v xml:space="preserve"> </v>
      </c>
      <c r="E122" s="26" t="str">
        <f>IF('E-Gilts'!A122&lt;'Adj-Gilts'!$B$10,'E-Gilts'!D122," ")</f>
        <v xml:space="preserve"> </v>
      </c>
      <c r="F122" s="26"/>
      <c r="G122" s="216" t="str">
        <f t="shared" si="4"/>
        <v xml:space="preserve"> </v>
      </c>
      <c r="H122" s="27" t="str">
        <f>IF('E-Gilts'!A122&lt;'Adj-Gilts'!$B$10,'E-Gilts'!I122," ")</f>
        <v xml:space="preserve"> </v>
      </c>
      <c r="I122" s="217" t="str">
        <f>IF('E-Gilts'!A122&lt;'Adj-Gilts'!$B$10,'E-Gilts'!A122," ")</f>
        <v xml:space="preserve"> </v>
      </c>
      <c r="J122" s="25" t="str">
        <f>IF('E-Gilts'!A122&lt;'Adj-Gilts'!$B$10,'E-Gilts'!J122," ")</f>
        <v xml:space="preserve"> </v>
      </c>
      <c r="K122" s="27" t="str">
        <f>IF('E-Gilts'!A122&lt;'Adj-Gilts'!$B$10,'E-Gilts'!N122," ")</f>
        <v xml:space="preserve"> </v>
      </c>
      <c r="L122" s="115" t="str">
        <f>IF('E-Gilts'!A122&lt;'Adj-Gilts'!$B$10,'E-Gilts'!K122," ")</f>
        <v xml:space="preserve"> </v>
      </c>
      <c r="M122" t="str">
        <f>IF('E-Gilts'!A122&lt;'Adj-Gilts'!$B$10,'E-Gilts'!M122," ")</f>
        <v xml:space="preserve"> </v>
      </c>
      <c r="N122" s="29" t="str">
        <f>IF('E-Gilts'!A122&lt;'Adj-Gilts'!$B$10,1/L122," ")</f>
        <v xml:space="preserve"> </v>
      </c>
      <c r="P122" s="30" t="str">
        <f t="shared" si="5"/>
        <v/>
      </c>
      <c r="Q122" s="30" t="str">
        <f t="shared" si="6"/>
        <v/>
      </c>
      <c r="R122" s="30" t="str">
        <f t="shared" si="7"/>
        <v/>
      </c>
    </row>
    <row r="123" spans="1:18" x14ac:dyDescent="0.25">
      <c r="A123" s="27" t="str">
        <f>IF('E-Gilts'!A123&lt;'Adj-Gilts'!$B$10,'E-Gilts'!B123," ")</f>
        <v xml:space="preserve"> </v>
      </c>
      <c r="B123" s="25" t="str">
        <f>IF('E-Gilts'!A123&lt;'Adj-Gilts'!$B$10,'E-Gilts'!A123," ")</f>
        <v xml:space="preserve"> </v>
      </c>
      <c r="C123" s="25" t="str">
        <f>IF('E-Gilts'!A123&lt;'Adj-Gilts'!$B$10,'E-Gilts'!C123," ")</f>
        <v xml:space="preserve"> </v>
      </c>
      <c r="D123" s="27" t="str">
        <f>IF('E-Gilts'!A123&lt;'Adj-Gilts'!$B$10,'E-Gilts'!G123," ")</f>
        <v xml:space="preserve"> </v>
      </c>
      <c r="E123" s="26" t="str">
        <f>IF('E-Gilts'!A123&lt;'Adj-Gilts'!$B$10,'E-Gilts'!D123," ")</f>
        <v xml:space="preserve"> </v>
      </c>
      <c r="F123" s="26"/>
      <c r="G123" s="216" t="str">
        <f t="shared" si="4"/>
        <v xml:space="preserve"> </v>
      </c>
      <c r="H123" s="27" t="str">
        <f>IF('E-Gilts'!A123&lt;'Adj-Gilts'!$B$10,'E-Gilts'!I123," ")</f>
        <v xml:space="preserve"> </v>
      </c>
      <c r="I123" s="217" t="str">
        <f>IF('E-Gilts'!A123&lt;'Adj-Gilts'!$B$10,'E-Gilts'!A123," ")</f>
        <v xml:space="preserve"> </v>
      </c>
      <c r="J123" s="25" t="str">
        <f>IF('E-Gilts'!A123&lt;'Adj-Gilts'!$B$10,'E-Gilts'!J123," ")</f>
        <v xml:space="preserve"> </v>
      </c>
      <c r="K123" s="27" t="str">
        <f>IF('E-Gilts'!A123&lt;'Adj-Gilts'!$B$10,'E-Gilts'!N123," ")</f>
        <v xml:space="preserve"> </v>
      </c>
      <c r="L123" s="115" t="str">
        <f>IF('E-Gilts'!A123&lt;'Adj-Gilts'!$B$10,'E-Gilts'!K123," ")</f>
        <v xml:space="preserve"> </v>
      </c>
      <c r="M123" t="str">
        <f>IF('E-Gilts'!A123&lt;'Adj-Gilts'!$B$10,'E-Gilts'!M123," ")</f>
        <v xml:space="preserve"> </v>
      </c>
      <c r="N123" s="29" t="str">
        <f>IF('E-Gilts'!A123&lt;'Adj-Gilts'!$B$10,1/L123," ")</f>
        <v xml:space="preserve"> </v>
      </c>
      <c r="P123" s="30" t="str">
        <f t="shared" si="5"/>
        <v/>
      </c>
      <c r="Q123" s="30" t="str">
        <f t="shared" si="6"/>
        <v/>
      </c>
      <c r="R123" s="30" t="str">
        <f t="shared" si="7"/>
        <v/>
      </c>
    </row>
    <row r="124" spans="1:18" x14ac:dyDescent="0.25">
      <c r="A124" s="27" t="str">
        <f>IF('E-Gilts'!A124&lt;'Adj-Gilts'!$B$10,'E-Gilts'!B124," ")</f>
        <v xml:space="preserve"> </v>
      </c>
      <c r="B124" s="25" t="str">
        <f>IF('E-Gilts'!A124&lt;'Adj-Gilts'!$B$10,'E-Gilts'!A124," ")</f>
        <v xml:space="preserve"> </v>
      </c>
      <c r="C124" s="25" t="str">
        <f>IF('E-Gilts'!A124&lt;'Adj-Gilts'!$B$10,'E-Gilts'!C124," ")</f>
        <v xml:space="preserve"> </v>
      </c>
      <c r="D124" s="27" t="str">
        <f>IF('E-Gilts'!A124&lt;'Adj-Gilts'!$B$10,'E-Gilts'!G124," ")</f>
        <v xml:space="preserve"> </v>
      </c>
      <c r="E124" s="26" t="str">
        <f>IF('E-Gilts'!A124&lt;'Adj-Gilts'!$B$10,'E-Gilts'!D124," ")</f>
        <v xml:space="preserve"> </v>
      </c>
      <c r="F124" s="26"/>
      <c r="G124" s="216" t="str">
        <f t="shared" si="4"/>
        <v xml:space="preserve"> </v>
      </c>
      <c r="H124" s="27" t="str">
        <f>IF('E-Gilts'!A124&lt;'Adj-Gilts'!$B$10,'E-Gilts'!I124," ")</f>
        <v xml:space="preserve"> </v>
      </c>
      <c r="I124" s="217" t="str">
        <f>IF('E-Gilts'!A124&lt;'Adj-Gilts'!$B$10,'E-Gilts'!A124," ")</f>
        <v xml:space="preserve"> </v>
      </c>
      <c r="J124" s="25" t="str">
        <f>IF('E-Gilts'!A124&lt;'Adj-Gilts'!$B$10,'E-Gilts'!J124," ")</f>
        <v xml:space="preserve"> </v>
      </c>
      <c r="K124" s="27" t="str">
        <f>IF('E-Gilts'!A124&lt;'Adj-Gilts'!$B$10,'E-Gilts'!N124," ")</f>
        <v xml:space="preserve"> </v>
      </c>
      <c r="L124" s="115" t="str">
        <f>IF('E-Gilts'!A124&lt;'Adj-Gilts'!$B$10,'E-Gilts'!K124," ")</f>
        <v xml:space="preserve"> </v>
      </c>
      <c r="M124" t="str">
        <f>IF('E-Gilts'!A124&lt;'Adj-Gilts'!$B$10,'E-Gilts'!M124," ")</f>
        <v xml:space="preserve"> </v>
      </c>
      <c r="N124" s="29" t="str">
        <f>IF('E-Gilts'!A124&lt;'Adj-Gilts'!$B$10,1/L124," ")</f>
        <v xml:space="preserve"> </v>
      </c>
      <c r="P124" s="30" t="str">
        <f t="shared" si="5"/>
        <v/>
      </c>
      <c r="Q124" s="30" t="str">
        <f t="shared" si="6"/>
        <v/>
      </c>
      <c r="R124" s="30" t="str">
        <f t="shared" si="7"/>
        <v/>
      </c>
    </row>
    <row r="125" spans="1:18" x14ac:dyDescent="0.25">
      <c r="A125" s="27" t="str">
        <f>IF('E-Gilts'!A125&lt;'Adj-Gilts'!$B$10,'E-Gilts'!B125," ")</f>
        <v xml:space="preserve"> </v>
      </c>
      <c r="B125" s="25" t="str">
        <f>IF('E-Gilts'!A125&lt;'Adj-Gilts'!$B$10,'E-Gilts'!A125," ")</f>
        <v xml:space="preserve"> </v>
      </c>
      <c r="C125" s="25" t="str">
        <f>IF('E-Gilts'!A125&lt;'Adj-Gilts'!$B$10,'E-Gilts'!C125," ")</f>
        <v xml:space="preserve"> </v>
      </c>
      <c r="D125" s="27" t="str">
        <f>IF('E-Gilts'!A125&lt;'Adj-Gilts'!$B$10,'E-Gilts'!G125," ")</f>
        <v xml:space="preserve"> </v>
      </c>
      <c r="E125" s="26" t="str">
        <f>IF('E-Gilts'!A125&lt;'Adj-Gilts'!$B$10,'E-Gilts'!D125," ")</f>
        <v xml:space="preserve"> </v>
      </c>
      <c r="F125" s="26"/>
      <c r="G125" s="216" t="str">
        <f t="shared" si="4"/>
        <v xml:space="preserve"> </v>
      </c>
      <c r="H125" s="27" t="str">
        <f>IF('E-Gilts'!A125&lt;'Adj-Gilts'!$B$10,'E-Gilts'!I125," ")</f>
        <v xml:space="preserve"> </v>
      </c>
      <c r="I125" s="217" t="str">
        <f>IF('E-Gilts'!A125&lt;'Adj-Gilts'!$B$10,'E-Gilts'!A125," ")</f>
        <v xml:space="preserve"> </v>
      </c>
      <c r="J125" s="25" t="str">
        <f>IF('E-Gilts'!A125&lt;'Adj-Gilts'!$B$10,'E-Gilts'!J125," ")</f>
        <v xml:space="preserve"> </v>
      </c>
      <c r="K125" s="27" t="str">
        <f>IF('E-Gilts'!A125&lt;'Adj-Gilts'!$B$10,'E-Gilts'!N125," ")</f>
        <v xml:space="preserve"> </v>
      </c>
      <c r="L125" s="115" t="str">
        <f>IF('E-Gilts'!A125&lt;'Adj-Gilts'!$B$10,'E-Gilts'!K125," ")</f>
        <v xml:space="preserve"> </v>
      </c>
      <c r="M125" t="str">
        <f>IF('E-Gilts'!A125&lt;'Adj-Gilts'!$B$10,'E-Gilts'!M125," ")</f>
        <v xml:space="preserve"> </v>
      </c>
      <c r="N125" s="29" t="str">
        <f>IF('E-Gilts'!A125&lt;'Adj-Gilts'!$B$10,1/L125," ")</f>
        <v xml:space="preserve"> </v>
      </c>
      <c r="P125" s="30" t="str">
        <f t="shared" si="5"/>
        <v/>
      </c>
      <c r="Q125" s="30" t="str">
        <f t="shared" si="6"/>
        <v/>
      </c>
      <c r="R125" s="30" t="str">
        <f t="shared" si="7"/>
        <v/>
      </c>
    </row>
    <row r="126" spans="1:18" x14ac:dyDescent="0.25">
      <c r="A126" s="27" t="str">
        <f>IF('E-Gilts'!A126&lt;'Adj-Gilts'!$B$10,'E-Gilts'!B126," ")</f>
        <v xml:space="preserve"> </v>
      </c>
      <c r="B126" s="25" t="str">
        <f>IF('E-Gilts'!A126&lt;'Adj-Gilts'!$B$10,'E-Gilts'!A126," ")</f>
        <v xml:space="preserve"> </v>
      </c>
      <c r="C126" s="25" t="str">
        <f>IF('E-Gilts'!A126&lt;'Adj-Gilts'!$B$10,'E-Gilts'!C126," ")</f>
        <v xml:space="preserve"> </v>
      </c>
      <c r="D126" s="27" t="str">
        <f>IF('E-Gilts'!A126&lt;'Adj-Gilts'!$B$10,'E-Gilts'!G126," ")</f>
        <v xml:space="preserve"> </v>
      </c>
      <c r="E126" s="26" t="str">
        <f>IF('E-Gilts'!A126&lt;'Adj-Gilts'!$B$10,'E-Gilts'!D126," ")</f>
        <v xml:space="preserve"> </v>
      </c>
      <c r="F126" s="26"/>
      <c r="G126" s="216" t="str">
        <f t="shared" si="4"/>
        <v xml:space="preserve"> </v>
      </c>
      <c r="H126" s="27" t="str">
        <f>IF('E-Gilts'!A126&lt;'Adj-Gilts'!$B$10,'E-Gilts'!I126," ")</f>
        <v xml:space="preserve"> </v>
      </c>
      <c r="I126" s="217" t="str">
        <f>IF('E-Gilts'!A126&lt;'Adj-Gilts'!$B$10,'E-Gilts'!A126," ")</f>
        <v xml:space="preserve"> </v>
      </c>
      <c r="J126" s="25" t="str">
        <f>IF('E-Gilts'!A126&lt;'Adj-Gilts'!$B$10,'E-Gilts'!J126," ")</f>
        <v xml:space="preserve"> </v>
      </c>
      <c r="K126" s="27" t="str">
        <f>IF('E-Gilts'!A126&lt;'Adj-Gilts'!$B$10,'E-Gilts'!N126," ")</f>
        <v xml:space="preserve"> </v>
      </c>
      <c r="L126" s="115" t="str">
        <f>IF('E-Gilts'!A126&lt;'Adj-Gilts'!$B$10,'E-Gilts'!K126," ")</f>
        <v xml:space="preserve"> </v>
      </c>
      <c r="M126" t="str">
        <f>IF('E-Gilts'!A126&lt;'Adj-Gilts'!$B$10,'E-Gilts'!M126," ")</f>
        <v xml:space="preserve"> </v>
      </c>
      <c r="N126" s="29" t="str">
        <f>IF('E-Gilts'!A126&lt;'Adj-Gilts'!$B$10,1/L126," ")</f>
        <v xml:space="preserve"> </v>
      </c>
      <c r="P126" s="30" t="str">
        <f t="shared" si="5"/>
        <v/>
      </c>
      <c r="Q126" s="30" t="str">
        <f t="shared" si="6"/>
        <v/>
      </c>
      <c r="R126" s="30" t="str">
        <f t="shared" si="7"/>
        <v/>
      </c>
    </row>
    <row r="127" spans="1:18" x14ac:dyDescent="0.25">
      <c r="A127" s="27" t="str">
        <f>IF('E-Gilts'!A127&lt;'Adj-Gilts'!$B$10,'E-Gilts'!B127," ")</f>
        <v xml:space="preserve"> </v>
      </c>
      <c r="B127" s="25" t="str">
        <f>IF('E-Gilts'!A127&lt;'Adj-Gilts'!$B$10,'E-Gilts'!A127," ")</f>
        <v xml:space="preserve"> </v>
      </c>
      <c r="C127" s="25" t="str">
        <f>IF('E-Gilts'!A127&lt;'Adj-Gilts'!$B$10,'E-Gilts'!C127," ")</f>
        <v xml:space="preserve"> </v>
      </c>
      <c r="D127" s="27" t="str">
        <f>IF('E-Gilts'!A127&lt;'Adj-Gilts'!$B$10,'E-Gilts'!G127," ")</f>
        <v xml:space="preserve"> </v>
      </c>
      <c r="E127" s="26" t="str">
        <f>IF('E-Gilts'!A127&lt;'Adj-Gilts'!$B$10,'E-Gilts'!D127," ")</f>
        <v xml:space="preserve"> </v>
      </c>
      <c r="F127" s="26"/>
      <c r="G127" s="216" t="str">
        <f t="shared" si="4"/>
        <v xml:space="preserve"> </v>
      </c>
      <c r="H127" s="27" t="str">
        <f>IF('E-Gilts'!A127&lt;'Adj-Gilts'!$B$10,'E-Gilts'!I127," ")</f>
        <v xml:space="preserve"> </v>
      </c>
      <c r="I127" s="217" t="str">
        <f>IF('E-Gilts'!A127&lt;'Adj-Gilts'!$B$10,'E-Gilts'!A127," ")</f>
        <v xml:space="preserve"> </v>
      </c>
      <c r="J127" s="25" t="str">
        <f>IF('E-Gilts'!A127&lt;'Adj-Gilts'!$B$10,'E-Gilts'!J127," ")</f>
        <v xml:space="preserve"> </v>
      </c>
      <c r="K127" s="27" t="str">
        <f>IF('E-Gilts'!A127&lt;'Adj-Gilts'!$B$10,'E-Gilts'!N127," ")</f>
        <v xml:space="preserve"> </v>
      </c>
      <c r="L127" s="115" t="str">
        <f>IF('E-Gilts'!A127&lt;'Adj-Gilts'!$B$10,'E-Gilts'!K127," ")</f>
        <v xml:space="preserve"> </v>
      </c>
      <c r="M127" t="str">
        <f>IF('E-Gilts'!A127&lt;'Adj-Gilts'!$B$10,'E-Gilts'!M127," ")</f>
        <v xml:space="preserve"> </v>
      </c>
      <c r="N127" s="29" t="str">
        <f>IF('E-Gilts'!A127&lt;'Adj-Gilts'!$B$10,1/L127," ")</f>
        <v xml:space="preserve"> </v>
      </c>
      <c r="P127" s="30" t="str">
        <f t="shared" si="5"/>
        <v/>
      </c>
      <c r="Q127" s="30" t="str">
        <f t="shared" si="6"/>
        <v/>
      </c>
      <c r="R127" s="30" t="str">
        <f t="shared" si="7"/>
        <v/>
      </c>
    </row>
    <row r="128" spans="1:18" x14ac:dyDescent="0.25">
      <c r="A128" s="27" t="str">
        <f>IF('E-Gilts'!A128&lt;'Adj-Gilts'!$B$10,'E-Gilts'!B128," ")</f>
        <v xml:space="preserve"> </v>
      </c>
      <c r="B128" s="25" t="str">
        <f>IF('E-Gilts'!A128&lt;'Adj-Gilts'!$B$10,'E-Gilts'!A128," ")</f>
        <v xml:space="preserve"> </v>
      </c>
      <c r="C128" s="25" t="str">
        <f>IF('E-Gilts'!A128&lt;'Adj-Gilts'!$B$10,'E-Gilts'!C128," ")</f>
        <v xml:space="preserve"> </v>
      </c>
      <c r="D128" s="27" t="str">
        <f>IF('E-Gilts'!A128&lt;'Adj-Gilts'!$B$10,'E-Gilts'!G128," ")</f>
        <v xml:space="preserve"> </v>
      </c>
      <c r="E128" s="26" t="str">
        <f>IF('E-Gilts'!A128&lt;'Adj-Gilts'!$B$10,'E-Gilts'!D128," ")</f>
        <v xml:space="preserve"> </v>
      </c>
      <c r="F128" s="26"/>
      <c r="G128" s="216" t="str">
        <f t="shared" si="4"/>
        <v xml:space="preserve"> </v>
      </c>
      <c r="H128" s="27" t="str">
        <f>IF('E-Gilts'!A128&lt;'Adj-Gilts'!$B$10,'E-Gilts'!I128," ")</f>
        <v xml:space="preserve"> </v>
      </c>
      <c r="I128" s="217" t="str">
        <f>IF('E-Gilts'!A128&lt;'Adj-Gilts'!$B$10,'E-Gilts'!A128," ")</f>
        <v xml:space="preserve"> </v>
      </c>
      <c r="J128" s="25" t="str">
        <f>IF('E-Gilts'!A128&lt;'Adj-Gilts'!$B$10,'E-Gilts'!J128," ")</f>
        <v xml:space="preserve"> </v>
      </c>
      <c r="K128" s="27" t="str">
        <f>IF('E-Gilts'!A128&lt;'Adj-Gilts'!$B$10,'E-Gilts'!N128," ")</f>
        <v xml:space="preserve"> </v>
      </c>
      <c r="L128" s="115" t="str">
        <f>IF('E-Gilts'!A128&lt;'Adj-Gilts'!$B$10,'E-Gilts'!K128," ")</f>
        <v xml:space="preserve"> </v>
      </c>
      <c r="M128" t="str">
        <f>IF('E-Gilts'!A128&lt;'Adj-Gilts'!$B$10,'E-Gilts'!M128," ")</f>
        <v xml:space="preserve"> </v>
      </c>
      <c r="N128" s="29" t="str">
        <f>IF('E-Gilts'!A128&lt;'Adj-Gilts'!$B$10,1/L128," ")</f>
        <v xml:space="preserve"> </v>
      </c>
      <c r="P128" s="30" t="str">
        <f t="shared" si="5"/>
        <v/>
      </c>
      <c r="Q128" s="30" t="str">
        <f t="shared" si="6"/>
        <v/>
      </c>
      <c r="R128" s="30" t="str">
        <f t="shared" si="7"/>
        <v/>
      </c>
    </row>
    <row r="129" spans="1:18" x14ac:dyDescent="0.25">
      <c r="A129" s="27" t="str">
        <f>IF('E-Gilts'!A129&lt;'Adj-Gilts'!$B$10,'E-Gilts'!B129," ")</f>
        <v xml:space="preserve"> </v>
      </c>
      <c r="B129" s="25" t="str">
        <f>IF('E-Gilts'!A129&lt;'Adj-Gilts'!$B$10,'E-Gilts'!A129," ")</f>
        <v xml:space="preserve"> </v>
      </c>
      <c r="C129" s="25" t="str">
        <f>IF('E-Gilts'!A129&lt;'Adj-Gilts'!$B$10,'E-Gilts'!C129," ")</f>
        <v xml:space="preserve"> </v>
      </c>
      <c r="D129" s="27" t="str">
        <f>IF('E-Gilts'!A129&lt;'Adj-Gilts'!$B$10,'E-Gilts'!G129," ")</f>
        <v xml:space="preserve"> </v>
      </c>
      <c r="E129" s="26" t="str">
        <f>IF('E-Gilts'!A129&lt;'Adj-Gilts'!$B$10,'E-Gilts'!D129," ")</f>
        <v xml:space="preserve"> </v>
      </c>
      <c r="F129" s="26"/>
      <c r="G129" s="216" t="str">
        <f t="shared" si="4"/>
        <v xml:space="preserve"> </v>
      </c>
      <c r="H129" s="27" t="str">
        <f>IF('E-Gilts'!A129&lt;'Adj-Gilts'!$B$10,'E-Gilts'!I129," ")</f>
        <v xml:space="preserve"> </v>
      </c>
      <c r="I129" s="217" t="str">
        <f>IF('E-Gilts'!A129&lt;'Adj-Gilts'!$B$10,'E-Gilts'!A129," ")</f>
        <v xml:space="preserve"> </v>
      </c>
      <c r="J129" s="25" t="str">
        <f>IF('E-Gilts'!A129&lt;'Adj-Gilts'!$B$10,'E-Gilts'!J129," ")</f>
        <v xml:space="preserve"> </v>
      </c>
      <c r="K129" s="27" t="str">
        <f>IF('E-Gilts'!A129&lt;'Adj-Gilts'!$B$10,'E-Gilts'!N129," ")</f>
        <v xml:space="preserve"> </v>
      </c>
      <c r="L129" s="115" t="str">
        <f>IF('E-Gilts'!A129&lt;'Adj-Gilts'!$B$10,'E-Gilts'!K129," ")</f>
        <v xml:space="preserve"> </v>
      </c>
      <c r="M129" t="str">
        <f>IF('E-Gilts'!A129&lt;'Adj-Gilts'!$B$10,'E-Gilts'!M129," ")</f>
        <v xml:space="preserve"> </v>
      </c>
      <c r="N129" s="29" t="str">
        <f>IF('E-Gilts'!A129&lt;'Adj-Gilts'!$B$10,1/L129," ")</f>
        <v xml:space="preserve"> </v>
      </c>
      <c r="P129" s="30" t="str">
        <f t="shared" si="5"/>
        <v/>
      </c>
      <c r="Q129" s="30" t="str">
        <f t="shared" si="6"/>
        <v/>
      </c>
      <c r="R129" s="30" t="str">
        <f t="shared" si="7"/>
        <v/>
      </c>
    </row>
    <row r="130" spans="1:18" x14ac:dyDescent="0.25">
      <c r="A130" s="27" t="str">
        <f>IF('E-Gilts'!A130&lt;'Adj-Gilts'!$B$10,'E-Gilts'!B130," ")</f>
        <v xml:space="preserve"> </v>
      </c>
      <c r="B130" s="25" t="str">
        <f>IF('E-Gilts'!A130&lt;'Adj-Gilts'!$B$10,'E-Gilts'!A130," ")</f>
        <v xml:space="preserve"> </v>
      </c>
      <c r="C130" s="25" t="str">
        <f>IF('E-Gilts'!A130&lt;'Adj-Gilts'!$B$10,'E-Gilts'!C130," ")</f>
        <v xml:space="preserve"> </v>
      </c>
      <c r="D130" s="27" t="str">
        <f>IF('E-Gilts'!A130&lt;'Adj-Gilts'!$B$10,'E-Gilts'!G130," ")</f>
        <v xml:space="preserve"> </v>
      </c>
      <c r="E130" s="26" t="str">
        <f>IF('E-Gilts'!A130&lt;'Adj-Gilts'!$B$10,'E-Gilts'!D130," ")</f>
        <v xml:space="preserve"> </v>
      </c>
      <c r="F130" s="26"/>
      <c r="G130" s="216" t="str">
        <f t="shared" si="4"/>
        <v xml:space="preserve"> </v>
      </c>
      <c r="H130" s="27" t="str">
        <f>IF('E-Gilts'!A130&lt;'Adj-Gilts'!$B$10,'E-Gilts'!I130," ")</f>
        <v xml:space="preserve"> </v>
      </c>
      <c r="I130" s="217" t="str">
        <f>IF('E-Gilts'!A130&lt;'Adj-Gilts'!$B$10,'E-Gilts'!A130," ")</f>
        <v xml:space="preserve"> </v>
      </c>
      <c r="J130" s="25" t="str">
        <f>IF('E-Gilts'!A130&lt;'Adj-Gilts'!$B$10,'E-Gilts'!J130," ")</f>
        <v xml:space="preserve"> </v>
      </c>
      <c r="K130" s="27" t="str">
        <f>IF('E-Gilts'!A130&lt;'Adj-Gilts'!$B$10,'E-Gilts'!N130," ")</f>
        <v xml:space="preserve"> </v>
      </c>
      <c r="L130" s="115" t="str">
        <f>IF('E-Gilts'!A130&lt;'Adj-Gilts'!$B$10,'E-Gilts'!K130," ")</f>
        <v xml:space="preserve"> </v>
      </c>
      <c r="M130" t="str">
        <f>IF('E-Gilts'!A130&lt;'Adj-Gilts'!$B$10,'E-Gilts'!M130," ")</f>
        <v xml:space="preserve"> </v>
      </c>
      <c r="N130" s="29" t="str">
        <f>IF('E-Gilts'!A130&lt;'Adj-Gilts'!$B$10,1/L130," ")</f>
        <v xml:space="preserve"> </v>
      </c>
      <c r="P130" s="30" t="str">
        <f t="shared" si="5"/>
        <v/>
      </c>
      <c r="Q130" s="30" t="str">
        <f t="shared" si="6"/>
        <v/>
      </c>
      <c r="R130" s="30" t="str">
        <f t="shared" si="7"/>
        <v/>
      </c>
    </row>
    <row r="131" spans="1:18" x14ac:dyDescent="0.25">
      <c r="A131" s="27" t="str">
        <f>IF('E-Gilts'!A131&lt;'Adj-Gilts'!$B$10,'E-Gilts'!B131," ")</f>
        <v xml:space="preserve"> </v>
      </c>
      <c r="B131" s="25" t="str">
        <f>IF('E-Gilts'!A131&lt;'Adj-Gilts'!$B$10,'E-Gilts'!A131," ")</f>
        <v xml:space="preserve"> </v>
      </c>
      <c r="C131" s="25" t="str">
        <f>IF('E-Gilts'!A131&lt;'Adj-Gilts'!$B$10,'E-Gilts'!C131," ")</f>
        <v xml:space="preserve"> </v>
      </c>
      <c r="D131" s="27" t="str">
        <f>IF('E-Gilts'!A131&lt;'Adj-Gilts'!$B$10,'E-Gilts'!G131," ")</f>
        <v xml:space="preserve"> </v>
      </c>
      <c r="E131" s="26" t="str">
        <f>IF('E-Gilts'!A131&lt;'Adj-Gilts'!$B$10,'E-Gilts'!D131," ")</f>
        <v xml:space="preserve"> </v>
      </c>
      <c r="F131" s="26"/>
      <c r="G131" s="216" t="str">
        <f t="shared" si="4"/>
        <v xml:space="preserve"> </v>
      </c>
      <c r="H131" s="27" t="str">
        <f>IF('E-Gilts'!A131&lt;'Adj-Gilts'!$B$10,'E-Gilts'!I131," ")</f>
        <v xml:space="preserve"> </v>
      </c>
      <c r="I131" s="217" t="str">
        <f>IF('E-Gilts'!A131&lt;'Adj-Gilts'!$B$10,'E-Gilts'!A131," ")</f>
        <v xml:space="preserve"> </v>
      </c>
      <c r="J131" s="25" t="str">
        <f>IF('E-Gilts'!A131&lt;'Adj-Gilts'!$B$10,'E-Gilts'!J131," ")</f>
        <v xml:space="preserve"> </v>
      </c>
      <c r="K131" s="27" t="str">
        <f>IF('E-Gilts'!A131&lt;'Adj-Gilts'!$B$10,'E-Gilts'!N131," ")</f>
        <v xml:space="preserve"> </v>
      </c>
      <c r="L131" s="115" t="str">
        <f>IF('E-Gilts'!A131&lt;'Adj-Gilts'!$B$10,'E-Gilts'!K131," ")</f>
        <v xml:space="preserve"> </v>
      </c>
      <c r="M131" t="str">
        <f>IF('E-Gilts'!A131&lt;'Adj-Gilts'!$B$10,'E-Gilts'!M131," ")</f>
        <v xml:space="preserve"> </v>
      </c>
      <c r="N131" s="29" t="str">
        <f>IF('E-Gilts'!A131&lt;'Adj-Gilts'!$B$10,1/L131," ")</f>
        <v xml:space="preserve"> </v>
      </c>
      <c r="P131" s="30" t="str">
        <f t="shared" si="5"/>
        <v/>
      </c>
      <c r="Q131" s="30" t="str">
        <f t="shared" si="6"/>
        <v/>
      </c>
      <c r="R131" s="30" t="str">
        <f t="shared" si="7"/>
        <v/>
      </c>
    </row>
    <row r="132" spans="1:18" x14ac:dyDescent="0.25">
      <c r="A132" s="27" t="str">
        <f>IF('E-Gilts'!A132&lt;'Adj-Gilts'!$B$10,'E-Gilts'!B132," ")</f>
        <v xml:space="preserve"> </v>
      </c>
      <c r="B132" s="25" t="str">
        <f>IF('E-Gilts'!A132&lt;'Adj-Gilts'!$B$10,'E-Gilts'!A132," ")</f>
        <v xml:space="preserve"> </v>
      </c>
      <c r="C132" s="25" t="str">
        <f>IF('E-Gilts'!A132&lt;'Adj-Gilts'!$B$10,'E-Gilts'!C132," ")</f>
        <v xml:space="preserve"> </v>
      </c>
      <c r="D132" s="27" t="str">
        <f>IF('E-Gilts'!A132&lt;'Adj-Gilts'!$B$10,'E-Gilts'!G132," ")</f>
        <v xml:space="preserve"> </v>
      </c>
      <c r="E132" s="26" t="str">
        <f>IF('E-Gilts'!A132&lt;'Adj-Gilts'!$B$10,'E-Gilts'!D132," ")</f>
        <v xml:space="preserve"> </v>
      </c>
      <c r="F132" s="26"/>
      <c r="G132" s="216" t="str">
        <f t="shared" ref="G132:G185" si="8">IFERROR(I132,"")</f>
        <v xml:space="preserve"> </v>
      </c>
      <c r="H132" s="27" t="str">
        <f>IF('E-Gilts'!A132&lt;'Adj-Gilts'!$B$10,'E-Gilts'!I132," ")</f>
        <v xml:space="preserve"> </v>
      </c>
      <c r="I132" s="217" t="str">
        <f>IF('E-Gilts'!A132&lt;'Adj-Gilts'!$B$10,'E-Gilts'!A132," ")</f>
        <v xml:space="preserve"> </v>
      </c>
      <c r="J132" s="25" t="str">
        <f>IF('E-Gilts'!A132&lt;'Adj-Gilts'!$B$10,'E-Gilts'!J132," ")</f>
        <v xml:space="preserve"> </v>
      </c>
      <c r="K132" s="27" t="str">
        <f>IF('E-Gilts'!A132&lt;'Adj-Gilts'!$B$10,'E-Gilts'!N132," ")</f>
        <v xml:space="preserve"> </v>
      </c>
      <c r="L132" s="115" t="str">
        <f>IF('E-Gilts'!A132&lt;'Adj-Gilts'!$B$10,'E-Gilts'!K132," ")</f>
        <v xml:space="preserve"> </v>
      </c>
      <c r="M132" t="str">
        <f>IF('E-Gilts'!A132&lt;'Adj-Gilts'!$B$10,'E-Gilts'!M132," ")</f>
        <v xml:space="preserve"> </v>
      </c>
      <c r="N132" s="29" t="str">
        <f>IF('E-Gilts'!A132&lt;'Adj-Gilts'!$B$10,1/L132," ")</f>
        <v xml:space="preserve"> </v>
      </c>
      <c r="P132" s="30" t="str">
        <f t="shared" si="5"/>
        <v/>
      </c>
      <c r="Q132" s="30" t="str">
        <f t="shared" si="6"/>
        <v/>
      </c>
      <c r="R132" s="30" t="str">
        <f t="shared" si="7"/>
        <v/>
      </c>
    </row>
    <row r="133" spans="1:18" x14ac:dyDescent="0.25">
      <c r="A133" s="27" t="str">
        <f>IF('E-Gilts'!A133&lt;'Adj-Gilts'!$B$10,'E-Gilts'!B133," ")</f>
        <v xml:space="preserve"> </v>
      </c>
      <c r="B133" s="25" t="str">
        <f>IF('E-Gilts'!A133&lt;'Adj-Gilts'!$B$10,'E-Gilts'!A133," ")</f>
        <v xml:space="preserve"> </v>
      </c>
      <c r="C133" s="25" t="str">
        <f>IF('E-Gilts'!A133&lt;'Adj-Gilts'!$B$10,'E-Gilts'!C133," ")</f>
        <v xml:space="preserve"> </v>
      </c>
      <c r="D133" s="27" t="str">
        <f>IF('E-Gilts'!A133&lt;'Adj-Gilts'!$B$10,'E-Gilts'!G133," ")</f>
        <v xml:space="preserve"> </v>
      </c>
      <c r="E133" s="26" t="str">
        <f>IF('E-Gilts'!A133&lt;'Adj-Gilts'!$B$10,'E-Gilts'!D133," ")</f>
        <v xml:space="preserve"> </v>
      </c>
      <c r="F133" s="26"/>
      <c r="G133" s="216" t="str">
        <f t="shared" si="8"/>
        <v xml:space="preserve"> </v>
      </c>
      <c r="H133" s="27" t="str">
        <f>IF('E-Gilts'!A133&lt;'Adj-Gilts'!$B$10,'E-Gilts'!I133," ")</f>
        <v xml:space="preserve"> </v>
      </c>
      <c r="I133" s="217" t="str">
        <f>IF('E-Gilts'!A133&lt;'Adj-Gilts'!$B$10,'E-Gilts'!A133," ")</f>
        <v xml:space="preserve"> </v>
      </c>
      <c r="J133" s="25" t="str">
        <f>IF('E-Gilts'!A133&lt;'Adj-Gilts'!$B$10,'E-Gilts'!J133," ")</f>
        <v xml:space="preserve"> </v>
      </c>
      <c r="K133" s="27" t="str">
        <f>IF('E-Gilts'!A133&lt;'Adj-Gilts'!$B$10,'E-Gilts'!N133," ")</f>
        <v xml:space="preserve"> </v>
      </c>
      <c r="L133" s="115" t="str">
        <f>IF('E-Gilts'!A133&lt;'Adj-Gilts'!$B$10,'E-Gilts'!K133," ")</f>
        <v xml:space="preserve"> </v>
      </c>
      <c r="M133" t="str">
        <f>IF('E-Gilts'!A133&lt;'Adj-Gilts'!$B$10,'E-Gilts'!M133," ")</f>
        <v xml:space="preserve"> </v>
      </c>
      <c r="N133" s="29" t="str">
        <f>IF('E-Gilts'!A133&lt;'Adj-Gilts'!$B$10,1/L133," ")</f>
        <v xml:space="preserve"> </v>
      </c>
      <c r="P133" s="30" t="str">
        <f t="shared" ref="P133:P185" si="9">IFERROR(IF(J133&lt;0,"",CONVERT(J133,"g", "lbm")),"")</f>
        <v/>
      </c>
      <c r="Q133" s="30" t="str">
        <f t="shared" ref="Q133:Q185" si="10">IFERROR(IF(M133&lt;0,"",CONVERT(M133,"kg", "lbm")),"")</f>
        <v/>
      </c>
      <c r="R133" s="30" t="str">
        <f t="shared" ref="R133:R185" si="11">IFERROR(IF(H133&lt;0,"",CONVERT(H133,"kg", "lbm")),"")</f>
        <v/>
      </c>
    </row>
    <row r="134" spans="1:18" x14ac:dyDescent="0.25">
      <c r="A134" s="27" t="str">
        <f>IF('E-Gilts'!A134&lt;'Adj-Gilts'!$B$10,'E-Gilts'!B134," ")</f>
        <v xml:space="preserve"> </v>
      </c>
      <c r="B134" s="25" t="str">
        <f>IF('E-Gilts'!A134&lt;'Adj-Gilts'!$B$10,'E-Gilts'!A134," ")</f>
        <v xml:space="preserve"> </v>
      </c>
      <c r="C134" s="25" t="str">
        <f>IF('E-Gilts'!A134&lt;'Adj-Gilts'!$B$10,'E-Gilts'!C134," ")</f>
        <v xml:space="preserve"> </v>
      </c>
      <c r="D134" s="27" t="str">
        <f>IF('E-Gilts'!A134&lt;'Adj-Gilts'!$B$10,'E-Gilts'!G134," ")</f>
        <v xml:space="preserve"> </v>
      </c>
      <c r="E134" s="26" t="str">
        <f>IF('E-Gilts'!A134&lt;'Adj-Gilts'!$B$10,'E-Gilts'!D134," ")</f>
        <v xml:space="preserve"> </v>
      </c>
      <c r="F134" s="26"/>
      <c r="G134" s="216" t="str">
        <f t="shared" si="8"/>
        <v xml:space="preserve"> </v>
      </c>
      <c r="H134" s="27" t="str">
        <f>IF('E-Gilts'!A134&lt;'Adj-Gilts'!$B$10,'E-Gilts'!I134," ")</f>
        <v xml:space="preserve"> </v>
      </c>
      <c r="I134" s="217" t="str">
        <f>IF('E-Gilts'!A134&lt;'Adj-Gilts'!$B$10,'E-Gilts'!A134," ")</f>
        <v xml:space="preserve"> </v>
      </c>
      <c r="J134" s="25" t="str">
        <f>IF('E-Gilts'!A134&lt;'Adj-Gilts'!$B$10,'E-Gilts'!J134," ")</f>
        <v xml:space="preserve"> </v>
      </c>
      <c r="K134" s="27" t="str">
        <f>IF('E-Gilts'!A134&lt;'Adj-Gilts'!$B$10,'E-Gilts'!N134," ")</f>
        <v xml:space="preserve"> </v>
      </c>
      <c r="L134" s="115" t="str">
        <f>IF('E-Gilts'!A134&lt;'Adj-Gilts'!$B$10,'E-Gilts'!K134," ")</f>
        <v xml:space="preserve"> </v>
      </c>
      <c r="M134" t="str">
        <f>IF('E-Gilts'!A134&lt;'Adj-Gilts'!$B$10,'E-Gilts'!M134," ")</f>
        <v xml:space="preserve"> </v>
      </c>
      <c r="N134" s="29" t="str">
        <f>IF('E-Gilts'!A134&lt;'Adj-Gilts'!$B$10,1/L134," ")</f>
        <v xml:space="preserve"> </v>
      </c>
      <c r="P134" s="30" t="str">
        <f t="shared" si="9"/>
        <v/>
      </c>
      <c r="Q134" s="30" t="str">
        <f t="shared" si="10"/>
        <v/>
      </c>
      <c r="R134" s="30" t="str">
        <f t="shared" si="11"/>
        <v/>
      </c>
    </row>
    <row r="135" spans="1:18" x14ac:dyDescent="0.25">
      <c r="A135" s="27" t="str">
        <f>IF('E-Gilts'!A135&lt;'Adj-Gilts'!$B$10,'E-Gilts'!B135," ")</f>
        <v xml:space="preserve"> </v>
      </c>
      <c r="B135" s="25" t="str">
        <f>IF('E-Gilts'!A135&lt;'Adj-Gilts'!$B$10,'E-Gilts'!A135," ")</f>
        <v xml:space="preserve"> </v>
      </c>
      <c r="C135" s="25" t="str">
        <f>IF('E-Gilts'!A135&lt;'Adj-Gilts'!$B$10,'E-Gilts'!C135," ")</f>
        <v xml:space="preserve"> </v>
      </c>
      <c r="D135" s="27" t="str">
        <f>IF('E-Gilts'!A135&lt;'Adj-Gilts'!$B$10,'E-Gilts'!G135," ")</f>
        <v xml:space="preserve"> </v>
      </c>
      <c r="E135" s="26" t="str">
        <f>IF('E-Gilts'!A135&lt;'Adj-Gilts'!$B$10,'E-Gilts'!D135," ")</f>
        <v xml:space="preserve"> </v>
      </c>
      <c r="F135" s="26"/>
      <c r="G135" s="216" t="str">
        <f t="shared" si="8"/>
        <v xml:space="preserve"> </v>
      </c>
      <c r="H135" s="27" t="str">
        <f>IF('E-Gilts'!A135&lt;'Adj-Gilts'!$B$10,'E-Gilts'!I135," ")</f>
        <v xml:space="preserve"> </v>
      </c>
      <c r="I135" s="217" t="str">
        <f>IF('E-Gilts'!A135&lt;'Adj-Gilts'!$B$10,'E-Gilts'!A135," ")</f>
        <v xml:space="preserve"> </v>
      </c>
      <c r="J135" s="25" t="str">
        <f>IF('E-Gilts'!A135&lt;'Adj-Gilts'!$B$10,'E-Gilts'!J135," ")</f>
        <v xml:space="preserve"> </v>
      </c>
      <c r="K135" s="27" t="str">
        <f>IF('E-Gilts'!A135&lt;'Adj-Gilts'!$B$10,'E-Gilts'!N135," ")</f>
        <v xml:space="preserve"> </v>
      </c>
      <c r="L135" s="115" t="str">
        <f>IF('E-Gilts'!A135&lt;'Adj-Gilts'!$B$10,'E-Gilts'!K135," ")</f>
        <v xml:space="preserve"> </v>
      </c>
      <c r="M135" t="str">
        <f>IF('E-Gilts'!A135&lt;'Adj-Gilts'!$B$10,'E-Gilts'!M135," ")</f>
        <v xml:space="preserve"> </v>
      </c>
      <c r="N135" s="29" t="str">
        <f>IF('E-Gilts'!A135&lt;'Adj-Gilts'!$B$10,1/L135," ")</f>
        <v xml:space="preserve"> </v>
      </c>
      <c r="P135" s="30" t="str">
        <f t="shared" si="9"/>
        <v/>
      </c>
      <c r="Q135" s="30" t="str">
        <f t="shared" si="10"/>
        <v/>
      </c>
      <c r="R135" s="30" t="str">
        <f t="shared" si="11"/>
        <v/>
      </c>
    </row>
    <row r="136" spans="1:18" x14ac:dyDescent="0.25">
      <c r="A136" s="27" t="str">
        <f>IF('E-Gilts'!A136&lt;'Adj-Gilts'!$B$10,'E-Gilts'!B136," ")</f>
        <v xml:space="preserve"> </v>
      </c>
      <c r="B136" s="25" t="str">
        <f>IF('E-Gilts'!A136&lt;'Adj-Gilts'!$B$10,'E-Gilts'!A136," ")</f>
        <v xml:space="preserve"> </v>
      </c>
      <c r="C136" s="25" t="str">
        <f>IF('E-Gilts'!A136&lt;'Adj-Gilts'!$B$10,'E-Gilts'!C136," ")</f>
        <v xml:space="preserve"> </v>
      </c>
      <c r="D136" s="27" t="str">
        <f>IF('E-Gilts'!A136&lt;'Adj-Gilts'!$B$10,'E-Gilts'!G136," ")</f>
        <v xml:space="preserve"> </v>
      </c>
      <c r="E136" s="26" t="str">
        <f>IF('E-Gilts'!A136&lt;'Adj-Gilts'!$B$10,'E-Gilts'!D136," ")</f>
        <v xml:space="preserve"> </v>
      </c>
      <c r="F136" s="26"/>
      <c r="G136" s="216" t="str">
        <f t="shared" si="8"/>
        <v xml:space="preserve"> </v>
      </c>
      <c r="H136" s="27" t="str">
        <f>IF('E-Gilts'!A136&lt;'Adj-Gilts'!$B$10,'E-Gilts'!I136," ")</f>
        <v xml:space="preserve"> </v>
      </c>
      <c r="I136" s="217" t="str">
        <f>IF('E-Gilts'!A136&lt;'Adj-Gilts'!$B$10,'E-Gilts'!A136," ")</f>
        <v xml:space="preserve"> </v>
      </c>
      <c r="J136" s="25" t="str">
        <f>IF('E-Gilts'!A136&lt;'Adj-Gilts'!$B$10,'E-Gilts'!J136," ")</f>
        <v xml:space="preserve"> </v>
      </c>
      <c r="K136" s="27" t="str">
        <f>IF('E-Gilts'!A136&lt;'Adj-Gilts'!$B$10,'E-Gilts'!N136," ")</f>
        <v xml:space="preserve"> </v>
      </c>
      <c r="L136" s="115" t="str">
        <f>IF('E-Gilts'!A136&lt;'Adj-Gilts'!$B$10,'E-Gilts'!K136," ")</f>
        <v xml:space="preserve"> </v>
      </c>
      <c r="M136" t="str">
        <f>IF('E-Gilts'!A136&lt;'Adj-Gilts'!$B$10,'E-Gilts'!M136," ")</f>
        <v xml:space="preserve"> </v>
      </c>
      <c r="N136" s="29" t="str">
        <f>IF('E-Gilts'!A136&lt;'Adj-Gilts'!$B$10,1/L136," ")</f>
        <v xml:space="preserve"> </v>
      </c>
      <c r="P136" s="30" t="str">
        <f t="shared" si="9"/>
        <v/>
      </c>
      <c r="Q136" s="30" t="str">
        <f t="shared" si="10"/>
        <v/>
      </c>
      <c r="R136" s="30" t="str">
        <f t="shared" si="11"/>
        <v/>
      </c>
    </row>
    <row r="137" spans="1:18" x14ac:dyDescent="0.25">
      <c r="A137" s="27" t="str">
        <f>IF('E-Gilts'!A137&lt;'Adj-Gilts'!$B$10,'E-Gilts'!B137," ")</f>
        <v xml:space="preserve"> </v>
      </c>
      <c r="B137" s="25" t="str">
        <f>IF('E-Gilts'!A137&lt;'Adj-Gilts'!$B$10,'E-Gilts'!A137," ")</f>
        <v xml:space="preserve"> </v>
      </c>
      <c r="C137" s="25" t="str">
        <f>IF('E-Gilts'!A137&lt;'Adj-Gilts'!$B$10,'E-Gilts'!C137," ")</f>
        <v xml:space="preserve"> </v>
      </c>
      <c r="D137" s="27" t="str">
        <f>IF('E-Gilts'!A137&lt;'Adj-Gilts'!$B$10,'E-Gilts'!G137," ")</f>
        <v xml:space="preserve"> </v>
      </c>
      <c r="E137" s="26" t="str">
        <f>IF('E-Gilts'!A137&lt;'Adj-Gilts'!$B$10,'E-Gilts'!D137," ")</f>
        <v xml:space="preserve"> </v>
      </c>
      <c r="F137" s="26"/>
      <c r="G137" s="216" t="str">
        <f t="shared" si="8"/>
        <v xml:space="preserve"> </v>
      </c>
      <c r="H137" s="27" t="str">
        <f>IF('E-Gilts'!A137&lt;'Adj-Gilts'!$B$10,'E-Gilts'!I137," ")</f>
        <v xml:space="preserve"> </v>
      </c>
      <c r="I137" s="217" t="str">
        <f>IF('E-Gilts'!A137&lt;'Adj-Gilts'!$B$10,'E-Gilts'!A137," ")</f>
        <v xml:space="preserve"> </v>
      </c>
      <c r="J137" s="25" t="str">
        <f>IF('E-Gilts'!A137&lt;'Adj-Gilts'!$B$10,'E-Gilts'!J137," ")</f>
        <v xml:space="preserve"> </v>
      </c>
      <c r="K137" s="27" t="str">
        <f>IF('E-Gilts'!A137&lt;'Adj-Gilts'!$B$10,'E-Gilts'!N137," ")</f>
        <v xml:space="preserve"> </v>
      </c>
      <c r="L137" s="115" t="str">
        <f>IF('E-Gilts'!A137&lt;'Adj-Gilts'!$B$10,'E-Gilts'!K137," ")</f>
        <v xml:space="preserve"> </v>
      </c>
      <c r="M137" t="str">
        <f>IF('E-Gilts'!A137&lt;'Adj-Gilts'!$B$10,'E-Gilts'!M137," ")</f>
        <v xml:space="preserve"> </v>
      </c>
      <c r="N137" s="29" t="str">
        <f>IF('E-Gilts'!A137&lt;'Adj-Gilts'!$B$10,1/L137," ")</f>
        <v xml:space="preserve"> </v>
      </c>
      <c r="P137" s="30" t="str">
        <f t="shared" si="9"/>
        <v/>
      </c>
      <c r="Q137" s="30" t="str">
        <f t="shared" si="10"/>
        <v/>
      </c>
      <c r="R137" s="30" t="str">
        <f t="shared" si="11"/>
        <v/>
      </c>
    </row>
    <row r="138" spans="1:18" x14ac:dyDescent="0.25">
      <c r="A138" s="27" t="str">
        <f>IF('E-Gilts'!A138&lt;'Adj-Gilts'!$B$10,'E-Gilts'!B138," ")</f>
        <v xml:space="preserve"> </v>
      </c>
      <c r="B138" s="25" t="str">
        <f>IF('E-Gilts'!A138&lt;'Adj-Gilts'!$B$10,'E-Gilts'!A138," ")</f>
        <v xml:space="preserve"> </v>
      </c>
      <c r="C138" s="25" t="str">
        <f>IF('E-Gilts'!A138&lt;'Adj-Gilts'!$B$10,'E-Gilts'!C138," ")</f>
        <v xml:space="preserve"> </v>
      </c>
      <c r="D138" s="27" t="str">
        <f>IF('E-Gilts'!A138&lt;'Adj-Gilts'!$B$10,'E-Gilts'!G138," ")</f>
        <v xml:space="preserve"> </v>
      </c>
      <c r="E138" s="26" t="str">
        <f>IF('E-Gilts'!A138&lt;'Adj-Gilts'!$B$10,'E-Gilts'!D138," ")</f>
        <v xml:space="preserve"> </v>
      </c>
      <c r="F138" s="26"/>
      <c r="G138" s="216" t="str">
        <f t="shared" si="8"/>
        <v xml:space="preserve"> </v>
      </c>
      <c r="H138" s="27" t="str">
        <f>IF('E-Gilts'!A138&lt;'Adj-Gilts'!$B$10,'E-Gilts'!I138," ")</f>
        <v xml:space="preserve"> </v>
      </c>
      <c r="I138" s="217" t="str">
        <f>IF('E-Gilts'!A138&lt;'Adj-Gilts'!$B$10,'E-Gilts'!A138," ")</f>
        <v xml:space="preserve"> </v>
      </c>
      <c r="J138" s="25" t="str">
        <f>IF('E-Gilts'!A138&lt;'Adj-Gilts'!$B$10,'E-Gilts'!J138," ")</f>
        <v xml:space="preserve"> </v>
      </c>
      <c r="K138" s="27" t="str">
        <f>IF('E-Gilts'!A138&lt;'Adj-Gilts'!$B$10,'E-Gilts'!N138," ")</f>
        <v xml:space="preserve"> </v>
      </c>
      <c r="L138" s="115" t="str">
        <f>IF('E-Gilts'!A138&lt;'Adj-Gilts'!$B$10,'E-Gilts'!K138," ")</f>
        <v xml:space="preserve"> </v>
      </c>
      <c r="M138" t="str">
        <f>IF('E-Gilts'!A138&lt;'Adj-Gilts'!$B$10,'E-Gilts'!M138," ")</f>
        <v xml:space="preserve"> </v>
      </c>
      <c r="N138" s="29" t="str">
        <f>IF('E-Gilts'!A138&lt;'Adj-Gilts'!$B$10,1/L138," ")</f>
        <v xml:space="preserve"> </v>
      </c>
      <c r="P138" s="30" t="str">
        <f t="shared" si="9"/>
        <v/>
      </c>
      <c r="Q138" s="30" t="str">
        <f t="shared" si="10"/>
        <v/>
      </c>
      <c r="R138" s="30" t="str">
        <f t="shared" si="11"/>
        <v/>
      </c>
    </row>
    <row r="139" spans="1:18" x14ac:dyDescent="0.25">
      <c r="A139" s="27" t="str">
        <f>IF('E-Gilts'!A139&lt;'Adj-Gilts'!$B$10,'E-Gilts'!B139," ")</f>
        <v xml:space="preserve"> </v>
      </c>
      <c r="B139" s="25" t="str">
        <f>IF('E-Gilts'!A139&lt;'Adj-Gilts'!$B$10,'E-Gilts'!A139," ")</f>
        <v xml:space="preserve"> </v>
      </c>
      <c r="C139" s="25" t="str">
        <f>IF('E-Gilts'!A139&lt;'Adj-Gilts'!$B$10,'E-Gilts'!C139," ")</f>
        <v xml:space="preserve"> </v>
      </c>
      <c r="D139" s="27" t="str">
        <f>IF('E-Gilts'!A139&lt;'Adj-Gilts'!$B$10,'E-Gilts'!G139," ")</f>
        <v xml:space="preserve"> </v>
      </c>
      <c r="E139" s="26" t="str">
        <f>IF('E-Gilts'!A139&lt;'Adj-Gilts'!$B$10,'E-Gilts'!D139," ")</f>
        <v xml:space="preserve"> </v>
      </c>
      <c r="F139" s="26"/>
      <c r="G139" s="216" t="str">
        <f t="shared" si="8"/>
        <v xml:space="preserve"> </v>
      </c>
      <c r="H139" s="27" t="str">
        <f>IF('E-Gilts'!A139&lt;'Adj-Gilts'!$B$10,'E-Gilts'!I139," ")</f>
        <v xml:space="preserve"> </v>
      </c>
      <c r="I139" s="217" t="str">
        <f>IF('E-Gilts'!A139&lt;'Adj-Gilts'!$B$10,'E-Gilts'!A139," ")</f>
        <v xml:space="preserve"> </v>
      </c>
      <c r="J139" s="25" t="str">
        <f>IF('E-Gilts'!A139&lt;'Adj-Gilts'!$B$10,'E-Gilts'!J139," ")</f>
        <v xml:space="preserve"> </v>
      </c>
      <c r="K139" s="27" t="str">
        <f>IF('E-Gilts'!A139&lt;'Adj-Gilts'!$B$10,'E-Gilts'!N139," ")</f>
        <v xml:space="preserve"> </v>
      </c>
      <c r="L139" s="115" t="str">
        <f>IF('E-Gilts'!A139&lt;'Adj-Gilts'!$B$10,'E-Gilts'!K139," ")</f>
        <v xml:space="preserve"> </v>
      </c>
      <c r="M139" t="str">
        <f>IF('E-Gilts'!A139&lt;'Adj-Gilts'!$B$10,'E-Gilts'!M139," ")</f>
        <v xml:space="preserve"> </v>
      </c>
      <c r="N139" s="29" t="str">
        <f>IF('E-Gilts'!A139&lt;'Adj-Gilts'!$B$10,1/L139," ")</f>
        <v xml:space="preserve"> </v>
      </c>
      <c r="P139" s="30" t="str">
        <f t="shared" si="9"/>
        <v/>
      </c>
      <c r="Q139" s="30" t="str">
        <f t="shared" si="10"/>
        <v/>
      </c>
      <c r="R139" s="30" t="str">
        <f t="shared" si="11"/>
        <v/>
      </c>
    </row>
    <row r="140" spans="1:18" x14ac:dyDescent="0.25">
      <c r="A140" s="27" t="str">
        <f>IF('E-Gilts'!A140&lt;'Adj-Gilts'!$B$10,'E-Gilts'!B140," ")</f>
        <v xml:space="preserve"> </v>
      </c>
      <c r="B140" s="25" t="str">
        <f>IF('E-Gilts'!A140&lt;'Adj-Gilts'!$B$10,'E-Gilts'!A140," ")</f>
        <v xml:space="preserve"> </v>
      </c>
      <c r="C140" s="25" t="str">
        <f>IF('E-Gilts'!A140&lt;'Adj-Gilts'!$B$10,'E-Gilts'!C140," ")</f>
        <v xml:space="preserve"> </v>
      </c>
      <c r="D140" s="27" t="str">
        <f>IF('E-Gilts'!A140&lt;'Adj-Gilts'!$B$10,'E-Gilts'!G140," ")</f>
        <v xml:space="preserve"> </v>
      </c>
      <c r="E140" s="26" t="str">
        <f>IF('E-Gilts'!A140&lt;'Adj-Gilts'!$B$10,'E-Gilts'!D140," ")</f>
        <v xml:space="preserve"> </v>
      </c>
      <c r="F140" s="26"/>
      <c r="G140" s="216" t="str">
        <f t="shared" si="8"/>
        <v xml:space="preserve"> </v>
      </c>
      <c r="H140" s="27" t="str">
        <f>IF('E-Gilts'!A140&lt;'Adj-Gilts'!$B$10,'E-Gilts'!I140," ")</f>
        <v xml:space="preserve"> </v>
      </c>
      <c r="I140" s="217" t="str">
        <f>IF('E-Gilts'!A140&lt;'Adj-Gilts'!$B$10,'E-Gilts'!A140," ")</f>
        <v xml:space="preserve"> </v>
      </c>
      <c r="J140" s="25" t="str">
        <f>IF('E-Gilts'!A140&lt;'Adj-Gilts'!$B$10,'E-Gilts'!J140," ")</f>
        <v xml:space="preserve"> </v>
      </c>
      <c r="K140" s="27" t="str">
        <f>IF('E-Gilts'!A140&lt;'Adj-Gilts'!$B$10,'E-Gilts'!N140," ")</f>
        <v xml:space="preserve"> </v>
      </c>
      <c r="L140" s="115" t="str">
        <f>IF('E-Gilts'!A140&lt;'Adj-Gilts'!$B$10,'E-Gilts'!K140," ")</f>
        <v xml:space="preserve"> </v>
      </c>
      <c r="M140" t="str">
        <f>IF('E-Gilts'!A140&lt;'Adj-Gilts'!$B$10,'E-Gilts'!M140," ")</f>
        <v xml:space="preserve"> </v>
      </c>
      <c r="N140" s="29" t="str">
        <f>IF('E-Gilts'!A140&lt;'Adj-Gilts'!$B$10,1/L140," ")</f>
        <v xml:space="preserve"> </v>
      </c>
      <c r="P140" s="30" t="str">
        <f t="shared" si="9"/>
        <v/>
      </c>
      <c r="Q140" s="30" t="str">
        <f t="shared" si="10"/>
        <v/>
      </c>
      <c r="R140" s="30" t="str">
        <f t="shared" si="11"/>
        <v/>
      </c>
    </row>
    <row r="141" spans="1:18" x14ac:dyDescent="0.25">
      <c r="A141" s="27" t="str">
        <f>IF('E-Gilts'!A141&lt;'Adj-Gilts'!$B$10,'E-Gilts'!B141," ")</f>
        <v xml:space="preserve"> </v>
      </c>
      <c r="B141" s="25" t="str">
        <f>IF('E-Gilts'!A141&lt;'Adj-Gilts'!$B$10,'E-Gilts'!A141," ")</f>
        <v xml:space="preserve"> </v>
      </c>
      <c r="C141" s="25" t="str">
        <f>IF('E-Gilts'!A141&lt;'Adj-Gilts'!$B$10,'E-Gilts'!C141," ")</f>
        <v xml:space="preserve"> </v>
      </c>
      <c r="D141" s="27" t="str">
        <f>IF('E-Gilts'!A141&lt;'Adj-Gilts'!$B$10,'E-Gilts'!G141," ")</f>
        <v xml:space="preserve"> </v>
      </c>
      <c r="E141" s="26" t="str">
        <f>IF('E-Gilts'!A141&lt;'Adj-Gilts'!$B$10,'E-Gilts'!D141," ")</f>
        <v xml:space="preserve"> </v>
      </c>
      <c r="F141" s="26"/>
      <c r="G141" s="216" t="str">
        <f t="shared" si="8"/>
        <v xml:space="preserve"> </v>
      </c>
      <c r="H141" s="27" t="str">
        <f>IF('E-Gilts'!A141&lt;'Adj-Gilts'!$B$10,'E-Gilts'!I141," ")</f>
        <v xml:space="preserve"> </v>
      </c>
      <c r="I141" s="217" t="str">
        <f>IF('E-Gilts'!A141&lt;'Adj-Gilts'!$B$10,'E-Gilts'!A141," ")</f>
        <v xml:space="preserve"> </v>
      </c>
      <c r="J141" s="25" t="str">
        <f>IF('E-Gilts'!A141&lt;'Adj-Gilts'!$B$10,'E-Gilts'!J141," ")</f>
        <v xml:space="preserve"> </v>
      </c>
      <c r="K141" s="27" t="str">
        <f>IF('E-Gilts'!A141&lt;'Adj-Gilts'!$B$10,'E-Gilts'!N141," ")</f>
        <v xml:space="preserve"> </v>
      </c>
      <c r="L141" s="115" t="str">
        <f>IF('E-Gilts'!A141&lt;'Adj-Gilts'!$B$10,'E-Gilts'!K141," ")</f>
        <v xml:space="preserve"> </v>
      </c>
      <c r="M141" t="str">
        <f>IF('E-Gilts'!A141&lt;'Adj-Gilts'!$B$10,'E-Gilts'!M141," ")</f>
        <v xml:space="preserve"> </v>
      </c>
      <c r="N141" s="29" t="str">
        <f>IF('E-Gilts'!A141&lt;'Adj-Gilts'!$B$10,1/L141," ")</f>
        <v xml:space="preserve"> </v>
      </c>
      <c r="P141" s="30" t="str">
        <f t="shared" si="9"/>
        <v/>
      </c>
      <c r="Q141" s="30" t="str">
        <f t="shared" si="10"/>
        <v/>
      </c>
      <c r="R141" s="30" t="str">
        <f t="shared" si="11"/>
        <v/>
      </c>
    </row>
    <row r="142" spans="1:18" x14ac:dyDescent="0.25">
      <c r="A142" s="27" t="str">
        <f>IF('E-Gilts'!A142&lt;'Adj-Gilts'!$B$10,'E-Gilts'!B142," ")</f>
        <v xml:space="preserve"> </v>
      </c>
      <c r="B142" s="25" t="str">
        <f>IF('E-Gilts'!A142&lt;'Adj-Gilts'!$B$10,'E-Gilts'!A142," ")</f>
        <v xml:space="preserve"> </v>
      </c>
      <c r="C142" s="25" t="str">
        <f>IF('E-Gilts'!A142&lt;'Adj-Gilts'!$B$10,'E-Gilts'!C142," ")</f>
        <v xml:space="preserve"> </v>
      </c>
      <c r="D142" s="27" t="str">
        <f>IF('E-Gilts'!A142&lt;'Adj-Gilts'!$B$10,'E-Gilts'!G142," ")</f>
        <v xml:space="preserve"> </v>
      </c>
      <c r="E142" s="26" t="str">
        <f>IF('E-Gilts'!A142&lt;'Adj-Gilts'!$B$10,'E-Gilts'!D142," ")</f>
        <v xml:space="preserve"> </v>
      </c>
      <c r="F142" s="26"/>
      <c r="G142" s="216" t="str">
        <f t="shared" si="8"/>
        <v xml:space="preserve"> </v>
      </c>
      <c r="H142" s="27" t="str">
        <f>IF('E-Gilts'!A142&lt;'Adj-Gilts'!$B$10,'E-Gilts'!I142," ")</f>
        <v xml:space="preserve"> </v>
      </c>
      <c r="I142" s="217" t="str">
        <f>IF('E-Gilts'!A142&lt;'Adj-Gilts'!$B$10,'E-Gilts'!A142," ")</f>
        <v xml:space="preserve"> </v>
      </c>
      <c r="J142" s="25" t="str">
        <f>IF('E-Gilts'!A142&lt;'Adj-Gilts'!$B$10,'E-Gilts'!J142," ")</f>
        <v xml:space="preserve"> </v>
      </c>
      <c r="K142" s="27" t="str">
        <f>IF('E-Gilts'!A142&lt;'Adj-Gilts'!$B$10,'E-Gilts'!N142," ")</f>
        <v xml:space="preserve"> </v>
      </c>
      <c r="L142" s="115" t="str">
        <f>IF('E-Gilts'!A142&lt;'Adj-Gilts'!$B$10,'E-Gilts'!K142," ")</f>
        <v xml:space="preserve"> </v>
      </c>
      <c r="M142" t="str">
        <f>IF('E-Gilts'!A142&lt;'Adj-Gilts'!$B$10,'E-Gilts'!M142," ")</f>
        <v xml:space="preserve"> </v>
      </c>
      <c r="N142" s="29" t="str">
        <f>IF('E-Gilts'!A142&lt;'Adj-Gilts'!$B$10,1/L142," ")</f>
        <v xml:space="preserve"> </v>
      </c>
      <c r="P142" s="30" t="str">
        <f t="shared" si="9"/>
        <v/>
      </c>
      <c r="Q142" s="30" t="str">
        <f t="shared" si="10"/>
        <v/>
      </c>
      <c r="R142" s="30" t="str">
        <f t="shared" si="11"/>
        <v/>
      </c>
    </row>
    <row r="143" spans="1:18" x14ac:dyDescent="0.25">
      <c r="A143" s="27" t="str">
        <f>IF('E-Gilts'!A143&lt;'Adj-Gilts'!$B$10,'E-Gilts'!B143," ")</f>
        <v xml:space="preserve"> </v>
      </c>
      <c r="B143" s="25" t="str">
        <f>IF('E-Gilts'!A143&lt;'Adj-Gilts'!$B$10,'E-Gilts'!A143," ")</f>
        <v xml:space="preserve"> </v>
      </c>
      <c r="C143" s="25" t="str">
        <f>IF('E-Gilts'!A143&lt;'Adj-Gilts'!$B$10,'E-Gilts'!C143," ")</f>
        <v xml:space="preserve"> </v>
      </c>
      <c r="D143" s="27" t="str">
        <f>IF('E-Gilts'!A143&lt;'Adj-Gilts'!$B$10,'E-Gilts'!G143," ")</f>
        <v xml:space="preserve"> </v>
      </c>
      <c r="E143" s="26" t="str">
        <f>IF('E-Gilts'!A143&lt;'Adj-Gilts'!$B$10,'E-Gilts'!D143," ")</f>
        <v xml:space="preserve"> </v>
      </c>
      <c r="F143" s="26"/>
      <c r="G143" s="216" t="str">
        <f t="shared" si="8"/>
        <v xml:space="preserve"> </v>
      </c>
      <c r="H143" s="27" t="str">
        <f>IF('E-Gilts'!A143&lt;'Adj-Gilts'!$B$10,'E-Gilts'!I143," ")</f>
        <v xml:space="preserve"> </v>
      </c>
      <c r="I143" s="217" t="str">
        <f>IF('E-Gilts'!A143&lt;'Adj-Gilts'!$B$10,'E-Gilts'!A143," ")</f>
        <v xml:space="preserve"> </v>
      </c>
      <c r="J143" s="25" t="str">
        <f>IF('E-Gilts'!A143&lt;'Adj-Gilts'!$B$10,'E-Gilts'!J143," ")</f>
        <v xml:space="preserve"> </v>
      </c>
      <c r="K143" s="27" t="str">
        <f>IF('E-Gilts'!A143&lt;'Adj-Gilts'!$B$10,'E-Gilts'!N143," ")</f>
        <v xml:space="preserve"> </v>
      </c>
      <c r="L143" s="115" t="str">
        <f>IF('E-Gilts'!A143&lt;'Adj-Gilts'!$B$10,'E-Gilts'!K143," ")</f>
        <v xml:space="preserve"> </v>
      </c>
      <c r="M143" t="str">
        <f>IF('E-Gilts'!A143&lt;'Adj-Gilts'!$B$10,'E-Gilts'!M143," ")</f>
        <v xml:space="preserve"> </v>
      </c>
      <c r="N143" s="29" t="str">
        <f>IF('E-Gilts'!A143&lt;'Adj-Gilts'!$B$10,1/L143," ")</f>
        <v xml:space="preserve"> </v>
      </c>
      <c r="P143" s="30" t="str">
        <f t="shared" si="9"/>
        <v/>
      </c>
      <c r="Q143" s="30" t="str">
        <f t="shared" si="10"/>
        <v/>
      </c>
      <c r="R143" s="30" t="str">
        <f t="shared" si="11"/>
        <v/>
      </c>
    </row>
    <row r="144" spans="1:18" x14ac:dyDescent="0.25">
      <c r="A144" s="27" t="str">
        <f>IF('E-Gilts'!A144&lt;'Adj-Gilts'!$B$10,'E-Gilts'!B144," ")</f>
        <v xml:space="preserve"> </v>
      </c>
      <c r="B144" s="25" t="str">
        <f>IF('E-Gilts'!A144&lt;'Adj-Gilts'!$B$10,'E-Gilts'!A144," ")</f>
        <v xml:space="preserve"> </v>
      </c>
      <c r="C144" s="25" t="str">
        <f>IF('E-Gilts'!A144&lt;'Adj-Gilts'!$B$10,'E-Gilts'!C144," ")</f>
        <v xml:space="preserve"> </v>
      </c>
      <c r="D144" s="27" t="str">
        <f>IF('E-Gilts'!A144&lt;'Adj-Gilts'!$B$10,'E-Gilts'!G144," ")</f>
        <v xml:space="preserve"> </v>
      </c>
      <c r="E144" s="26" t="str">
        <f>IF('E-Gilts'!A144&lt;'Adj-Gilts'!$B$10,'E-Gilts'!D144," ")</f>
        <v xml:space="preserve"> </v>
      </c>
      <c r="F144" s="26"/>
      <c r="G144" s="216" t="str">
        <f t="shared" si="8"/>
        <v xml:space="preserve"> </v>
      </c>
      <c r="H144" s="27" t="str">
        <f>IF('E-Gilts'!A144&lt;'Adj-Gilts'!$B$10,'E-Gilts'!I144," ")</f>
        <v xml:space="preserve"> </v>
      </c>
      <c r="I144" s="217" t="str">
        <f>IF('E-Gilts'!A144&lt;'Adj-Gilts'!$B$10,'E-Gilts'!A144," ")</f>
        <v xml:space="preserve"> </v>
      </c>
      <c r="J144" s="25" t="str">
        <f>IF('E-Gilts'!A144&lt;'Adj-Gilts'!$B$10,'E-Gilts'!J144," ")</f>
        <v xml:space="preserve"> </v>
      </c>
      <c r="K144" s="27" t="str">
        <f>IF('E-Gilts'!A144&lt;'Adj-Gilts'!$B$10,'E-Gilts'!N144," ")</f>
        <v xml:space="preserve"> </v>
      </c>
      <c r="L144" s="115" t="str">
        <f>IF('E-Gilts'!A144&lt;'Adj-Gilts'!$B$10,'E-Gilts'!K144," ")</f>
        <v xml:space="preserve"> </v>
      </c>
      <c r="M144" t="str">
        <f>IF('E-Gilts'!A144&lt;'Adj-Gilts'!$B$10,'E-Gilts'!M144," ")</f>
        <v xml:space="preserve"> </v>
      </c>
      <c r="N144" s="29" t="str">
        <f>IF('E-Gilts'!A144&lt;'Adj-Gilts'!$B$10,1/L144," ")</f>
        <v xml:space="preserve"> </v>
      </c>
      <c r="P144" s="30" t="str">
        <f t="shared" si="9"/>
        <v/>
      </c>
      <c r="Q144" s="30" t="str">
        <f t="shared" si="10"/>
        <v/>
      </c>
      <c r="R144" s="30" t="str">
        <f t="shared" si="11"/>
        <v/>
      </c>
    </row>
    <row r="145" spans="1:18" x14ac:dyDescent="0.25">
      <c r="A145" s="27" t="str">
        <f>IF('E-Gilts'!A145&lt;'Adj-Gilts'!$B$10,'E-Gilts'!B145," ")</f>
        <v xml:space="preserve"> </v>
      </c>
      <c r="B145" s="25" t="str">
        <f>IF('E-Gilts'!A145&lt;'Adj-Gilts'!$B$10,'E-Gilts'!A145," ")</f>
        <v xml:space="preserve"> </v>
      </c>
      <c r="C145" s="25" t="str">
        <f>IF('E-Gilts'!A145&lt;'Adj-Gilts'!$B$10,'E-Gilts'!C145," ")</f>
        <v xml:space="preserve"> </v>
      </c>
      <c r="D145" s="27" t="str">
        <f>IF('E-Gilts'!A145&lt;'Adj-Gilts'!$B$10,'E-Gilts'!G145," ")</f>
        <v xml:space="preserve"> </v>
      </c>
      <c r="E145" s="26" t="str">
        <f>IF('E-Gilts'!A145&lt;'Adj-Gilts'!$B$10,'E-Gilts'!D145," ")</f>
        <v xml:space="preserve"> </v>
      </c>
      <c r="F145" s="26"/>
      <c r="G145" s="216" t="str">
        <f t="shared" si="8"/>
        <v xml:space="preserve"> </v>
      </c>
      <c r="H145" s="27" t="str">
        <f>IF('E-Gilts'!A145&lt;'Adj-Gilts'!$B$10,'E-Gilts'!I145," ")</f>
        <v xml:space="preserve"> </v>
      </c>
      <c r="I145" s="217" t="str">
        <f>IF('E-Gilts'!A145&lt;'Adj-Gilts'!$B$10,'E-Gilts'!A145," ")</f>
        <v xml:space="preserve"> </v>
      </c>
      <c r="J145" s="25" t="str">
        <f>IF('E-Gilts'!A145&lt;'Adj-Gilts'!$B$10,'E-Gilts'!J145," ")</f>
        <v xml:space="preserve"> </v>
      </c>
      <c r="K145" s="27" t="str">
        <f>IF('E-Gilts'!A145&lt;'Adj-Gilts'!$B$10,'E-Gilts'!N145," ")</f>
        <v xml:space="preserve"> </v>
      </c>
      <c r="L145" s="115" t="str">
        <f>IF('E-Gilts'!A145&lt;'Adj-Gilts'!$B$10,'E-Gilts'!K145," ")</f>
        <v xml:space="preserve"> </v>
      </c>
      <c r="M145" t="str">
        <f>IF('E-Gilts'!A145&lt;'Adj-Gilts'!$B$10,'E-Gilts'!M145," ")</f>
        <v xml:space="preserve"> </v>
      </c>
      <c r="N145" s="29" t="str">
        <f>IF('E-Gilts'!A145&lt;'Adj-Gilts'!$B$10,1/L145," ")</f>
        <v xml:space="preserve"> </v>
      </c>
      <c r="P145" s="30" t="str">
        <f t="shared" si="9"/>
        <v/>
      </c>
      <c r="Q145" s="30" t="str">
        <f t="shared" si="10"/>
        <v/>
      </c>
      <c r="R145" s="30" t="str">
        <f t="shared" si="11"/>
        <v/>
      </c>
    </row>
    <row r="146" spans="1:18" x14ac:dyDescent="0.25">
      <c r="A146" s="27" t="str">
        <f>IF('E-Gilts'!A146&lt;'Adj-Gilts'!$B$10,'E-Gilts'!B146," ")</f>
        <v xml:space="preserve"> </v>
      </c>
      <c r="B146" s="25" t="str">
        <f>IF('E-Gilts'!A146&lt;'Adj-Gilts'!$B$10,'E-Gilts'!A146," ")</f>
        <v xml:space="preserve"> </v>
      </c>
      <c r="C146" s="25" t="str">
        <f>IF('E-Gilts'!A146&lt;'Adj-Gilts'!$B$10,'E-Gilts'!C146," ")</f>
        <v xml:space="preserve"> </v>
      </c>
      <c r="D146" s="27" t="str">
        <f>IF('E-Gilts'!A146&lt;'Adj-Gilts'!$B$10,'E-Gilts'!G146," ")</f>
        <v xml:space="preserve"> </v>
      </c>
      <c r="E146" s="26" t="str">
        <f>IF('E-Gilts'!A146&lt;'Adj-Gilts'!$B$10,'E-Gilts'!D146," ")</f>
        <v xml:space="preserve"> </v>
      </c>
      <c r="F146" s="26"/>
      <c r="G146" s="216" t="str">
        <f t="shared" si="8"/>
        <v xml:space="preserve"> </v>
      </c>
      <c r="H146" s="27" t="str">
        <f>IF('E-Gilts'!A146&lt;'Adj-Gilts'!$B$10,'E-Gilts'!I146," ")</f>
        <v xml:space="preserve"> </v>
      </c>
      <c r="I146" s="217" t="str">
        <f>IF('E-Gilts'!A146&lt;'Adj-Gilts'!$B$10,'E-Gilts'!A146," ")</f>
        <v xml:space="preserve"> </v>
      </c>
      <c r="J146" s="25" t="str">
        <f>IF('E-Gilts'!A146&lt;'Adj-Gilts'!$B$10,'E-Gilts'!J146," ")</f>
        <v xml:space="preserve"> </v>
      </c>
      <c r="K146" s="27" t="str">
        <f>IF('E-Gilts'!A146&lt;'Adj-Gilts'!$B$10,'E-Gilts'!N146," ")</f>
        <v xml:space="preserve"> </v>
      </c>
      <c r="L146" s="115" t="str">
        <f>IF('E-Gilts'!A146&lt;'Adj-Gilts'!$B$10,'E-Gilts'!K146," ")</f>
        <v xml:space="preserve"> </v>
      </c>
      <c r="M146" t="str">
        <f>IF('E-Gilts'!A146&lt;'Adj-Gilts'!$B$10,'E-Gilts'!M146," ")</f>
        <v xml:space="preserve"> </v>
      </c>
      <c r="N146" s="29" t="str">
        <f>IF('E-Gilts'!A146&lt;'Adj-Gilts'!$B$10,1/L146," ")</f>
        <v xml:space="preserve"> </v>
      </c>
      <c r="P146" s="30" t="str">
        <f t="shared" si="9"/>
        <v/>
      </c>
      <c r="Q146" s="30" t="str">
        <f t="shared" si="10"/>
        <v/>
      </c>
      <c r="R146" s="30" t="str">
        <f t="shared" si="11"/>
        <v/>
      </c>
    </row>
    <row r="147" spans="1:18" x14ac:dyDescent="0.25">
      <c r="A147" s="27" t="str">
        <f>IF('E-Gilts'!A147&lt;'Adj-Gilts'!$B$10,'E-Gilts'!B147," ")</f>
        <v xml:space="preserve"> </v>
      </c>
      <c r="B147" s="25" t="str">
        <f>IF('E-Gilts'!A147&lt;'Adj-Gilts'!$B$10,'E-Gilts'!A147," ")</f>
        <v xml:space="preserve"> </v>
      </c>
      <c r="C147" s="25" t="str">
        <f>IF('E-Gilts'!A147&lt;'Adj-Gilts'!$B$10,'E-Gilts'!C147," ")</f>
        <v xml:space="preserve"> </v>
      </c>
      <c r="D147" s="27" t="str">
        <f>IF('E-Gilts'!A147&lt;'Adj-Gilts'!$B$10,'E-Gilts'!G147," ")</f>
        <v xml:space="preserve"> </v>
      </c>
      <c r="E147" s="26" t="str">
        <f>IF('E-Gilts'!A147&lt;'Adj-Gilts'!$B$10,'E-Gilts'!D147," ")</f>
        <v xml:space="preserve"> </v>
      </c>
      <c r="F147" s="26"/>
      <c r="G147" s="216" t="str">
        <f t="shared" si="8"/>
        <v xml:space="preserve"> </v>
      </c>
      <c r="H147" s="27" t="str">
        <f>IF('E-Gilts'!A147&lt;'Adj-Gilts'!$B$10,'E-Gilts'!I147," ")</f>
        <v xml:space="preserve"> </v>
      </c>
      <c r="I147" s="217" t="str">
        <f>IF('E-Gilts'!A147&lt;'Adj-Gilts'!$B$10,'E-Gilts'!A147," ")</f>
        <v xml:space="preserve"> </v>
      </c>
      <c r="J147" s="25" t="str">
        <f>IF('E-Gilts'!A147&lt;'Adj-Gilts'!$B$10,'E-Gilts'!J147," ")</f>
        <v xml:space="preserve"> </v>
      </c>
      <c r="K147" s="27" t="str">
        <f>IF('E-Gilts'!A147&lt;'Adj-Gilts'!$B$10,'E-Gilts'!N147," ")</f>
        <v xml:space="preserve"> </v>
      </c>
      <c r="L147" s="115" t="str">
        <f>IF('E-Gilts'!A147&lt;'Adj-Gilts'!$B$10,'E-Gilts'!K147," ")</f>
        <v xml:space="preserve"> </v>
      </c>
      <c r="M147" t="str">
        <f>IF('E-Gilts'!A147&lt;'Adj-Gilts'!$B$10,'E-Gilts'!M147," ")</f>
        <v xml:space="preserve"> </v>
      </c>
      <c r="N147" s="29" t="str">
        <f>IF('E-Gilts'!A147&lt;'Adj-Gilts'!$B$10,1/L147," ")</f>
        <v xml:space="preserve"> </v>
      </c>
      <c r="P147" s="30" t="str">
        <f t="shared" si="9"/>
        <v/>
      </c>
      <c r="Q147" s="30" t="str">
        <f t="shared" si="10"/>
        <v/>
      </c>
      <c r="R147" s="30" t="str">
        <f t="shared" si="11"/>
        <v/>
      </c>
    </row>
    <row r="148" spans="1:18" x14ac:dyDescent="0.25">
      <c r="A148" s="27" t="str">
        <f>IF('E-Gilts'!A148&lt;'Adj-Gilts'!$B$10,'E-Gilts'!B148," ")</f>
        <v xml:space="preserve"> </v>
      </c>
      <c r="B148" s="25" t="str">
        <f>IF('E-Gilts'!A148&lt;'Adj-Gilts'!$B$10,'E-Gilts'!A148," ")</f>
        <v xml:space="preserve"> </v>
      </c>
      <c r="C148" s="25" t="str">
        <f>IF('E-Gilts'!A148&lt;'Adj-Gilts'!$B$10,'E-Gilts'!C148," ")</f>
        <v xml:space="preserve"> </v>
      </c>
      <c r="D148" s="27" t="str">
        <f>IF('E-Gilts'!A148&lt;'Adj-Gilts'!$B$10,'E-Gilts'!G148," ")</f>
        <v xml:space="preserve"> </v>
      </c>
      <c r="E148" s="26" t="str">
        <f>IF('E-Gilts'!A148&lt;'Adj-Gilts'!$B$10,'E-Gilts'!D148," ")</f>
        <v xml:space="preserve"> </v>
      </c>
      <c r="F148" s="26"/>
      <c r="G148" s="216" t="str">
        <f t="shared" si="8"/>
        <v xml:space="preserve"> </v>
      </c>
      <c r="H148" s="27" t="str">
        <f>IF('E-Gilts'!A148&lt;'Adj-Gilts'!$B$10,'E-Gilts'!I148," ")</f>
        <v xml:space="preserve"> </v>
      </c>
      <c r="I148" s="217" t="str">
        <f>IF('E-Gilts'!A148&lt;'Adj-Gilts'!$B$10,'E-Gilts'!A148," ")</f>
        <v xml:space="preserve"> </v>
      </c>
      <c r="J148" s="25" t="str">
        <f>IF('E-Gilts'!A148&lt;'Adj-Gilts'!$B$10,'E-Gilts'!J148," ")</f>
        <v xml:space="preserve"> </v>
      </c>
      <c r="K148" s="27" t="str">
        <f>IF('E-Gilts'!A148&lt;'Adj-Gilts'!$B$10,'E-Gilts'!N148," ")</f>
        <v xml:space="preserve"> </v>
      </c>
      <c r="L148" s="115" t="str">
        <f>IF('E-Gilts'!A148&lt;'Adj-Gilts'!$B$10,'E-Gilts'!K148," ")</f>
        <v xml:space="preserve"> </v>
      </c>
      <c r="M148" t="str">
        <f>IF('E-Gilts'!A148&lt;'Adj-Gilts'!$B$10,'E-Gilts'!M148," ")</f>
        <v xml:space="preserve"> </v>
      </c>
      <c r="N148" s="29" t="str">
        <f>IF('E-Gilts'!A148&lt;'Adj-Gilts'!$B$10,1/L148," ")</f>
        <v xml:space="preserve"> </v>
      </c>
      <c r="P148" s="30" t="str">
        <f t="shared" si="9"/>
        <v/>
      </c>
      <c r="Q148" s="30" t="str">
        <f t="shared" si="10"/>
        <v/>
      </c>
      <c r="R148" s="30" t="str">
        <f t="shared" si="11"/>
        <v/>
      </c>
    </row>
    <row r="149" spans="1:18" x14ac:dyDescent="0.25">
      <c r="A149" s="27" t="str">
        <f>IF('E-Gilts'!A149&lt;'Adj-Gilts'!$B$10,'E-Gilts'!B149," ")</f>
        <v xml:space="preserve"> </v>
      </c>
      <c r="B149" s="25" t="str">
        <f>IF('E-Gilts'!A149&lt;'Adj-Gilts'!$B$10,'E-Gilts'!A149," ")</f>
        <v xml:space="preserve"> </v>
      </c>
      <c r="C149" s="25" t="str">
        <f>IF('E-Gilts'!A149&lt;'Adj-Gilts'!$B$10,'E-Gilts'!C149," ")</f>
        <v xml:space="preserve"> </v>
      </c>
      <c r="D149" s="27" t="str">
        <f>IF('E-Gilts'!A149&lt;'Adj-Gilts'!$B$10,'E-Gilts'!G149," ")</f>
        <v xml:space="preserve"> </v>
      </c>
      <c r="E149" s="26" t="str">
        <f>IF('E-Gilts'!A149&lt;'Adj-Gilts'!$B$10,'E-Gilts'!D149," ")</f>
        <v xml:space="preserve"> </v>
      </c>
      <c r="F149" s="26"/>
      <c r="G149" s="216" t="str">
        <f t="shared" si="8"/>
        <v xml:space="preserve"> </v>
      </c>
      <c r="H149" s="27" t="str">
        <f>IF('E-Gilts'!A149&lt;'Adj-Gilts'!$B$10,'E-Gilts'!I149," ")</f>
        <v xml:space="preserve"> </v>
      </c>
      <c r="I149" s="217" t="str">
        <f>IF('E-Gilts'!A149&lt;'Adj-Gilts'!$B$10,'E-Gilts'!A149," ")</f>
        <v xml:space="preserve"> </v>
      </c>
      <c r="J149" s="25" t="str">
        <f>IF('E-Gilts'!A149&lt;'Adj-Gilts'!$B$10,'E-Gilts'!J149," ")</f>
        <v xml:space="preserve"> </v>
      </c>
      <c r="K149" s="27" t="str">
        <f>IF('E-Gilts'!A149&lt;'Adj-Gilts'!$B$10,'E-Gilts'!N149," ")</f>
        <v xml:space="preserve"> </v>
      </c>
      <c r="L149" s="115" t="str">
        <f>IF('E-Gilts'!A149&lt;'Adj-Gilts'!$B$10,'E-Gilts'!K149," ")</f>
        <v xml:space="preserve"> </v>
      </c>
      <c r="M149" t="str">
        <f>IF('E-Gilts'!A149&lt;'Adj-Gilts'!$B$10,'E-Gilts'!M149," ")</f>
        <v xml:space="preserve"> </v>
      </c>
      <c r="N149" s="29" t="str">
        <f>IF('E-Gilts'!A149&lt;'Adj-Gilts'!$B$10,1/L149," ")</f>
        <v xml:space="preserve"> </v>
      </c>
      <c r="P149" s="30" t="str">
        <f t="shared" si="9"/>
        <v/>
      </c>
      <c r="Q149" s="30" t="str">
        <f t="shared" si="10"/>
        <v/>
      </c>
      <c r="R149" s="30" t="str">
        <f t="shared" si="11"/>
        <v/>
      </c>
    </row>
    <row r="150" spans="1:18" x14ac:dyDescent="0.25">
      <c r="A150" s="27" t="str">
        <f>IF('E-Gilts'!A150&lt;'Adj-Gilts'!$B$10,'E-Gilts'!B150," ")</f>
        <v xml:space="preserve"> </v>
      </c>
      <c r="B150" s="25" t="str">
        <f>IF('E-Gilts'!A150&lt;'Adj-Gilts'!$B$10,'E-Gilts'!A150," ")</f>
        <v xml:space="preserve"> </v>
      </c>
      <c r="C150" s="25" t="str">
        <f>IF('E-Gilts'!A150&lt;'Adj-Gilts'!$B$10,'E-Gilts'!C150," ")</f>
        <v xml:space="preserve"> </v>
      </c>
      <c r="D150" s="27" t="str">
        <f>IF('E-Gilts'!A150&lt;'Adj-Gilts'!$B$10,'E-Gilts'!G150," ")</f>
        <v xml:space="preserve"> </v>
      </c>
      <c r="E150" s="26" t="str">
        <f>IF('E-Gilts'!A150&lt;'Adj-Gilts'!$B$10,'E-Gilts'!D150," ")</f>
        <v xml:space="preserve"> </v>
      </c>
      <c r="F150" s="26"/>
      <c r="G150" s="216" t="str">
        <f t="shared" si="8"/>
        <v xml:space="preserve"> </v>
      </c>
      <c r="H150" s="27" t="str">
        <f>IF('E-Gilts'!A150&lt;'Adj-Gilts'!$B$10,'E-Gilts'!I150," ")</f>
        <v xml:space="preserve"> </v>
      </c>
      <c r="I150" s="217" t="str">
        <f>IF('E-Gilts'!A150&lt;'Adj-Gilts'!$B$10,'E-Gilts'!A150," ")</f>
        <v xml:space="preserve"> </v>
      </c>
      <c r="J150" s="25" t="str">
        <f>IF('E-Gilts'!A150&lt;'Adj-Gilts'!$B$10,'E-Gilts'!J150," ")</f>
        <v xml:space="preserve"> </v>
      </c>
      <c r="K150" s="27" t="str">
        <f>IF('E-Gilts'!A150&lt;'Adj-Gilts'!$B$10,'E-Gilts'!N150," ")</f>
        <v xml:space="preserve"> </v>
      </c>
      <c r="L150" s="115" t="str">
        <f>IF('E-Gilts'!A150&lt;'Adj-Gilts'!$B$10,'E-Gilts'!K150," ")</f>
        <v xml:space="preserve"> </v>
      </c>
      <c r="M150" t="str">
        <f>IF('E-Gilts'!A150&lt;'Adj-Gilts'!$B$10,'E-Gilts'!M150," ")</f>
        <v xml:space="preserve"> </v>
      </c>
      <c r="N150" s="29" t="str">
        <f>IF('E-Gilts'!A150&lt;'Adj-Gilts'!$B$10,1/L150," ")</f>
        <v xml:space="preserve"> </v>
      </c>
      <c r="P150" s="30" t="str">
        <f t="shared" si="9"/>
        <v/>
      </c>
      <c r="Q150" s="30" t="str">
        <f t="shared" si="10"/>
        <v/>
      </c>
      <c r="R150" s="30" t="str">
        <f t="shared" si="11"/>
        <v/>
      </c>
    </row>
    <row r="151" spans="1:18" x14ac:dyDescent="0.25">
      <c r="A151" s="27" t="str">
        <f>IF('E-Gilts'!A151&lt;'Adj-Gilts'!$B$10,'E-Gilts'!B151," ")</f>
        <v xml:space="preserve"> </v>
      </c>
      <c r="B151" s="25" t="str">
        <f>IF('E-Gilts'!A151&lt;'Adj-Gilts'!$B$10,'E-Gilts'!A151," ")</f>
        <v xml:space="preserve"> </v>
      </c>
      <c r="C151" s="25" t="str">
        <f>IF('E-Gilts'!A151&lt;'Adj-Gilts'!$B$10,'E-Gilts'!C151," ")</f>
        <v xml:space="preserve"> </v>
      </c>
      <c r="D151" s="27" t="str">
        <f>IF('E-Gilts'!A151&lt;'Adj-Gilts'!$B$10,'E-Gilts'!G151," ")</f>
        <v xml:space="preserve"> </v>
      </c>
      <c r="E151" s="26" t="str">
        <f>IF('E-Gilts'!A151&lt;'Adj-Gilts'!$B$10,'E-Gilts'!D151," ")</f>
        <v xml:space="preserve"> </v>
      </c>
      <c r="F151" s="26"/>
      <c r="G151" s="216" t="str">
        <f t="shared" si="8"/>
        <v xml:space="preserve"> </v>
      </c>
      <c r="H151" s="27" t="str">
        <f>IF('E-Gilts'!A151&lt;'Adj-Gilts'!$B$10,'E-Gilts'!I151," ")</f>
        <v xml:space="preserve"> </v>
      </c>
      <c r="I151" s="217" t="str">
        <f>IF('E-Gilts'!A151&lt;'Adj-Gilts'!$B$10,'E-Gilts'!A151," ")</f>
        <v xml:space="preserve"> </v>
      </c>
      <c r="J151" s="25" t="str">
        <f>IF('E-Gilts'!A151&lt;'Adj-Gilts'!$B$10,'E-Gilts'!J151," ")</f>
        <v xml:space="preserve"> </v>
      </c>
      <c r="K151" s="27" t="str">
        <f>IF('E-Gilts'!A151&lt;'Adj-Gilts'!$B$10,'E-Gilts'!N151," ")</f>
        <v xml:space="preserve"> </v>
      </c>
      <c r="L151" s="115" t="str">
        <f>IF('E-Gilts'!A151&lt;'Adj-Gilts'!$B$10,'E-Gilts'!K151," ")</f>
        <v xml:space="preserve"> </v>
      </c>
      <c r="M151" t="str">
        <f>IF('E-Gilts'!A151&lt;'Adj-Gilts'!$B$10,'E-Gilts'!M151," ")</f>
        <v xml:space="preserve"> </v>
      </c>
      <c r="N151" s="29" t="str">
        <f>IF('E-Gilts'!A151&lt;'Adj-Gilts'!$B$10,1/L151," ")</f>
        <v xml:space="preserve"> </v>
      </c>
      <c r="P151" s="30" t="str">
        <f t="shared" si="9"/>
        <v/>
      </c>
      <c r="Q151" s="30" t="str">
        <f t="shared" si="10"/>
        <v/>
      </c>
      <c r="R151" s="30" t="str">
        <f t="shared" si="11"/>
        <v/>
      </c>
    </row>
    <row r="152" spans="1:18" x14ac:dyDescent="0.25">
      <c r="A152" s="27" t="str">
        <f>IF('E-Gilts'!A152&lt;'Adj-Gilts'!$B$10,'E-Gilts'!B152," ")</f>
        <v xml:space="preserve"> </v>
      </c>
      <c r="B152" s="25" t="str">
        <f>IF('E-Gilts'!A152&lt;'Adj-Gilts'!$B$10,'E-Gilts'!A152," ")</f>
        <v xml:space="preserve"> </v>
      </c>
      <c r="C152" s="25" t="str">
        <f>IF('E-Gilts'!A152&lt;'Adj-Gilts'!$B$10,'E-Gilts'!C152," ")</f>
        <v xml:space="preserve"> </v>
      </c>
      <c r="D152" s="27" t="str">
        <f>IF('E-Gilts'!A152&lt;'Adj-Gilts'!$B$10,'E-Gilts'!G152," ")</f>
        <v xml:space="preserve"> </v>
      </c>
      <c r="E152" s="26" t="str">
        <f>IF('E-Gilts'!A152&lt;'Adj-Gilts'!$B$10,'E-Gilts'!D152," ")</f>
        <v xml:space="preserve"> </v>
      </c>
      <c r="F152" s="26"/>
      <c r="G152" s="216" t="str">
        <f t="shared" si="8"/>
        <v xml:space="preserve"> </v>
      </c>
      <c r="H152" s="27" t="str">
        <f>IF('E-Gilts'!A152&lt;'Adj-Gilts'!$B$10,'E-Gilts'!I152," ")</f>
        <v xml:space="preserve"> </v>
      </c>
      <c r="I152" s="217" t="str">
        <f>IF('E-Gilts'!A152&lt;'Adj-Gilts'!$B$10,'E-Gilts'!A152," ")</f>
        <v xml:space="preserve"> </v>
      </c>
      <c r="J152" s="25" t="str">
        <f>IF('E-Gilts'!A152&lt;'Adj-Gilts'!$B$10,'E-Gilts'!J152," ")</f>
        <v xml:space="preserve"> </v>
      </c>
      <c r="K152" s="27" t="str">
        <f>IF('E-Gilts'!A152&lt;'Adj-Gilts'!$B$10,'E-Gilts'!N152," ")</f>
        <v xml:space="preserve"> </v>
      </c>
      <c r="L152" s="115" t="str">
        <f>IF('E-Gilts'!A152&lt;'Adj-Gilts'!$B$10,'E-Gilts'!K152," ")</f>
        <v xml:space="preserve"> </v>
      </c>
      <c r="M152" t="str">
        <f>IF('E-Gilts'!A152&lt;'Adj-Gilts'!$B$10,'E-Gilts'!M152," ")</f>
        <v xml:space="preserve"> </v>
      </c>
      <c r="N152" s="29" t="str">
        <f>IF('E-Gilts'!A152&lt;'Adj-Gilts'!$B$10,1/L152," ")</f>
        <v xml:space="preserve"> </v>
      </c>
      <c r="P152" s="30" t="str">
        <f t="shared" si="9"/>
        <v/>
      </c>
      <c r="Q152" s="30" t="str">
        <f t="shared" si="10"/>
        <v/>
      </c>
      <c r="R152" s="30" t="str">
        <f t="shared" si="11"/>
        <v/>
      </c>
    </row>
    <row r="153" spans="1:18" x14ac:dyDescent="0.25">
      <c r="A153" s="27" t="str">
        <f>IF('E-Gilts'!A153&lt;'Adj-Gilts'!$B$10,'E-Gilts'!B153," ")</f>
        <v xml:space="preserve"> </v>
      </c>
      <c r="B153" s="25" t="str">
        <f>IF('E-Gilts'!A153&lt;'Adj-Gilts'!$B$10,'E-Gilts'!A153," ")</f>
        <v xml:space="preserve"> </v>
      </c>
      <c r="C153" s="25" t="str">
        <f>IF('E-Gilts'!A153&lt;'Adj-Gilts'!$B$10,'E-Gilts'!C153," ")</f>
        <v xml:space="preserve"> </v>
      </c>
      <c r="D153" s="27" t="str">
        <f>IF('E-Gilts'!A153&lt;'Adj-Gilts'!$B$10,'E-Gilts'!G153," ")</f>
        <v xml:space="preserve"> </v>
      </c>
      <c r="E153" s="26" t="str">
        <f>IF('E-Gilts'!A153&lt;'Adj-Gilts'!$B$10,'E-Gilts'!D153," ")</f>
        <v xml:space="preserve"> </v>
      </c>
      <c r="F153" s="26"/>
      <c r="G153" s="216" t="str">
        <f t="shared" si="8"/>
        <v xml:space="preserve"> </v>
      </c>
      <c r="H153" s="27" t="str">
        <f>IF('E-Gilts'!A153&lt;'Adj-Gilts'!$B$10,'E-Gilts'!I153," ")</f>
        <v xml:space="preserve"> </v>
      </c>
      <c r="I153" s="217" t="str">
        <f>IF('E-Gilts'!A153&lt;'Adj-Gilts'!$B$10,'E-Gilts'!A153," ")</f>
        <v xml:space="preserve"> </v>
      </c>
      <c r="J153" s="25" t="str">
        <f>IF('E-Gilts'!A153&lt;'Adj-Gilts'!$B$10,'E-Gilts'!J153," ")</f>
        <v xml:space="preserve"> </v>
      </c>
      <c r="K153" s="27" t="str">
        <f>IF('E-Gilts'!A153&lt;'Adj-Gilts'!$B$10,'E-Gilts'!N153," ")</f>
        <v xml:space="preserve"> </v>
      </c>
      <c r="L153" s="115" t="str">
        <f>IF('E-Gilts'!A153&lt;'Adj-Gilts'!$B$10,'E-Gilts'!K153," ")</f>
        <v xml:space="preserve"> </v>
      </c>
      <c r="M153" t="str">
        <f>IF('E-Gilts'!A153&lt;'Adj-Gilts'!$B$10,'E-Gilts'!M153," ")</f>
        <v xml:space="preserve"> </v>
      </c>
      <c r="N153" s="29" t="str">
        <f>IF('E-Gilts'!A153&lt;'Adj-Gilts'!$B$10,1/L153," ")</f>
        <v xml:space="preserve"> </v>
      </c>
      <c r="P153" s="30" t="str">
        <f t="shared" si="9"/>
        <v/>
      </c>
      <c r="Q153" s="30" t="str">
        <f t="shared" si="10"/>
        <v/>
      </c>
      <c r="R153" s="30" t="str">
        <f t="shared" si="11"/>
        <v/>
      </c>
    </row>
    <row r="154" spans="1:18" x14ac:dyDescent="0.25">
      <c r="A154" s="27" t="str">
        <f>IF('E-Gilts'!A154&lt;'Adj-Gilts'!$B$10,'E-Gilts'!B154," ")</f>
        <v xml:space="preserve"> </v>
      </c>
      <c r="B154" s="25" t="str">
        <f>IF('E-Gilts'!A154&lt;'Adj-Gilts'!$B$10,'E-Gilts'!A154," ")</f>
        <v xml:space="preserve"> </v>
      </c>
      <c r="C154" s="25" t="str">
        <f>IF('E-Gilts'!A154&lt;'Adj-Gilts'!$B$10,'E-Gilts'!C154," ")</f>
        <v xml:space="preserve"> </v>
      </c>
      <c r="D154" s="27" t="str">
        <f>IF('E-Gilts'!A154&lt;'Adj-Gilts'!$B$10,'E-Gilts'!G154," ")</f>
        <v xml:space="preserve"> </v>
      </c>
      <c r="E154" s="26" t="str">
        <f>IF('E-Gilts'!A154&lt;'Adj-Gilts'!$B$10,'E-Gilts'!D154," ")</f>
        <v xml:space="preserve"> </v>
      </c>
      <c r="F154" s="26"/>
      <c r="G154" s="216" t="str">
        <f t="shared" si="8"/>
        <v xml:space="preserve"> </v>
      </c>
      <c r="H154" s="27" t="str">
        <f>IF('E-Gilts'!A154&lt;'Adj-Gilts'!$B$10,'E-Gilts'!I154," ")</f>
        <v xml:space="preserve"> </v>
      </c>
      <c r="I154" s="217" t="str">
        <f>IF('E-Gilts'!A154&lt;'Adj-Gilts'!$B$10,'E-Gilts'!A154," ")</f>
        <v xml:space="preserve"> </v>
      </c>
      <c r="J154" s="25" t="str">
        <f>IF('E-Gilts'!A154&lt;'Adj-Gilts'!$B$10,'E-Gilts'!J154," ")</f>
        <v xml:space="preserve"> </v>
      </c>
      <c r="K154" s="27" t="str">
        <f>IF('E-Gilts'!A154&lt;'Adj-Gilts'!$B$10,'E-Gilts'!N154," ")</f>
        <v xml:space="preserve"> </v>
      </c>
      <c r="L154" s="115" t="str">
        <f>IF('E-Gilts'!A154&lt;'Adj-Gilts'!$B$10,'E-Gilts'!K154," ")</f>
        <v xml:space="preserve"> </v>
      </c>
      <c r="M154" t="str">
        <f>IF('E-Gilts'!A154&lt;'Adj-Gilts'!$B$10,'E-Gilts'!M154," ")</f>
        <v xml:space="preserve"> </v>
      </c>
      <c r="N154" s="29" t="str">
        <f>IF('E-Gilts'!A154&lt;'Adj-Gilts'!$B$10,1/L154," ")</f>
        <v xml:space="preserve"> </v>
      </c>
      <c r="P154" s="30" t="str">
        <f t="shared" si="9"/>
        <v/>
      </c>
      <c r="Q154" s="30" t="str">
        <f t="shared" si="10"/>
        <v/>
      </c>
      <c r="R154" s="30" t="str">
        <f t="shared" si="11"/>
        <v/>
      </c>
    </row>
    <row r="155" spans="1:18" x14ac:dyDescent="0.25">
      <c r="A155" s="27" t="str">
        <f>IF('E-Gilts'!A155&lt;'Adj-Gilts'!$B$10,'E-Gilts'!B155," ")</f>
        <v xml:space="preserve"> </v>
      </c>
      <c r="B155" s="25" t="str">
        <f>IF('E-Gilts'!A155&lt;'Adj-Gilts'!$B$10,'E-Gilts'!A155," ")</f>
        <v xml:space="preserve"> </v>
      </c>
      <c r="C155" s="25" t="str">
        <f>IF('E-Gilts'!A155&lt;'Adj-Gilts'!$B$10,'E-Gilts'!C155," ")</f>
        <v xml:space="preserve"> </v>
      </c>
      <c r="D155" s="27" t="str">
        <f>IF('E-Gilts'!A155&lt;'Adj-Gilts'!$B$10,'E-Gilts'!G155," ")</f>
        <v xml:space="preserve"> </v>
      </c>
      <c r="E155" s="26" t="str">
        <f>IF('E-Gilts'!A155&lt;'Adj-Gilts'!$B$10,'E-Gilts'!D155," ")</f>
        <v xml:space="preserve"> </v>
      </c>
      <c r="F155" s="26"/>
      <c r="G155" s="216" t="str">
        <f t="shared" si="8"/>
        <v xml:space="preserve"> </v>
      </c>
      <c r="H155" s="27" t="str">
        <f>IF('E-Gilts'!A155&lt;'Adj-Gilts'!$B$10,'E-Gilts'!I155," ")</f>
        <v xml:space="preserve"> </v>
      </c>
      <c r="I155" s="217" t="str">
        <f>IF('E-Gilts'!A155&lt;'Adj-Gilts'!$B$10,'E-Gilts'!A155," ")</f>
        <v xml:space="preserve"> </v>
      </c>
      <c r="J155" s="25" t="str">
        <f>IF('E-Gilts'!A155&lt;'Adj-Gilts'!$B$10,'E-Gilts'!J155," ")</f>
        <v xml:space="preserve"> </v>
      </c>
      <c r="K155" s="27" t="str">
        <f>IF('E-Gilts'!A155&lt;'Adj-Gilts'!$B$10,'E-Gilts'!N155," ")</f>
        <v xml:space="preserve"> </v>
      </c>
      <c r="L155" s="115" t="str">
        <f>IF('E-Gilts'!A155&lt;'Adj-Gilts'!$B$10,'E-Gilts'!K155," ")</f>
        <v xml:space="preserve"> </v>
      </c>
      <c r="M155" t="str">
        <f>IF('E-Gilts'!A155&lt;'Adj-Gilts'!$B$10,'E-Gilts'!M155," ")</f>
        <v xml:space="preserve"> </v>
      </c>
      <c r="N155" s="29" t="str">
        <f>IF('E-Gilts'!A155&lt;'Adj-Gilts'!$B$10,1/L155," ")</f>
        <v xml:space="preserve"> </v>
      </c>
      <c r="P155" s="30" t="str">
        <f t="shared" si="9"/>
        <v/>
      </c>
      <c r="Q155" s="30" t="str">
        <f t="shared" si="10"/>
        <v/>
      </c>
      <c r="R155" s="30" t="str">
        <f t="shared" si="11"/>
        <v/>
      </c>
    </row>
    <row r="156" spans="1:18" x14ac:dyDescent="0.25">
      <c r="A156" s="27" t="str">
        <f>IF('E-Gilts'!A156&lt;'Adj-Gilts'!$B$10,'E-Gilts'!B156," ")</f>
        <v xml:space="preserve"> </v>
      </c>
      <c r="B156" s="25" t="str">
        <f>IF('E-Gilts'!A156&lt;'Adj-Gilts'!$B$10,'E-Gilts'!A156," ")</f>
        <v xml:space="preserve"> </v>
      </c>
      <c r="C156" s="25" t="str">
        <f>IF('E-Gilts'!A156&lt;'Adj-Gilts'!$B$10,'E-Gilts'!C156," ")</f>
        <v xml:space="preserve"> </v>
      </c>
      <c r="D156" s="27" t="str">
        <f>IF('E-Gilts'!A156&lt;'Adj-Gilts'!$B$10,'E-Gilts'!G156," ")</f>
        <v xml:space="preserve"> </v>
      </c>
      <c r="E156" s="26" t="str">
        <f>IF('E-Gilts'!A156&lt;'Adj-Gilts'!$B$10,'E-Gilts'!D156," ")</f>
        <v xml:space="preserve"> </v>
      </c>
      <c r="F156" s="26"/>
      <c r="G156" s="216" t="str">
        <f t="shared" si="8"/>
        <v xml:space="preserve"> </v>
      </c>
      <c r="H156" s="27" t="str">
        <f>IF('E-Gilts'!A156&lt;'Adj-Gilts'!$B$10,'E-Gilts'!I156," ")</f>
        <v xml:space="preserve"> </v>
      </c>
      <c r="I156" s="217" t="str">
        <f>IF('E-Gilts'!A156&lt;'Adj-Gilts'!$B$10,'E-Gilts'!A156," ")</f>
        <v xml:space="preserve"> </v>
      </c>
      <c r="J156" s="25" t="str">
        <f>IF('E-Gilts'!A156&lt;'Adj-Gilts'!$B$10,'E-Gilts'!J156," ")</f>
        <v xml:space="preserve"> </v>
      </c>
      <c r="K156" s="27" t="str">
        <f>IF('E-Gilts'!A156&lt;'Adj-Gilts'!$B$10,'E-Gilts'!N156," ")</f>
        <v xml:space="preserve"> </v>
      </c>
      <c r="L156" s="115" t="str">
        <f>IF('E-Gilts'!A156&lt;'Adj-Gilts'!$B$10,'E-Gilts'!K156," ")</f>
        <v xml:space="preserve"> </v>
      </c>
      <c r="M156" t="str">
        <f>IF('E-Gilts'!A156&lt;'Adj-Gilts'!$B$10,'E-Gilts'!M156," ")</f>
        <v xml:space="preserve"> </v>
      </c>
      <c r="N156" s="29" t="str">
        <f>IF('E-Gilts'!A156&lt;'Adj-Gilts'!$B$10,1/L156," ")</f>
        <v xml:space="preserve"> </v>
      </c>
      <c r="P156" s="30" t="str">
        <f t="shared" si="9"/>
        <v/>
      </c>
      <c r="Q156" s="30" t="str">
        <f t="shared" si="10"/>
        <v/>
      </c>
      <c r="R156" s="30" t="str">
        <f t="shared" si="11"/>
        <v/>
      </c>
    </row>
    <row r="157" spans="1:18" x14ac:dyDescent="0.25">
      <c r="A157" s="27" t="str">
        <f>IF('E-Gilts'!A157&lt;'Adj-Gilts'!$B$10,'E-Gilts'!B157," ")</f>
        <v xml:space="preserve"> </v>
      </c>
      <c r="B157" s="25" t="str">
        <f>IF('E-Gilts'!A157&lt;'Adj-Gilts'!$B$10,'E-Gilts'!A157," ")</f>
        <v xml:space="preserve"> </v>
      </c>
      <c r="C157" s="25" t="str">
        <f>IF('E-Gilts'!A157&lt;'Adj-Gilts'!$B$10,'E-Gilts'!C157," ")</f>
        <v xml:space="preserve"> </v>
      </c>
      <c r="D157" s="27" t="str">
        <f>IF('E-Gilts'!A157&lt;'Adj-Gilts'!$B$10,'E-Gilts'!G157," ")</f>
        <v xml:space="preserve"> </v>
      </c>
      <c r="E157" s="26" t="str">
        <f>IF('E-Gilts'!A157&lt;'Adj-Gilts'!$B$10,'E-Gilts'!D157," ")</f>
        <v xml:space="preserve"> </v>
      </c>
      <c r="F157" s="26"/>
      <c r="G157" s="216" t="str">
        <f t="shared" si="8"/>
        <v xml:space="preserve"> </v>
      </c>
      <c r="H157" s="27" t="str">
        <f>IF('E-Gilts'!A157&lt;'Adj-Gilts'!$B$10,'E-Gilts'!I157," ")</f>
        <v xml:space="preserve"> </v>
      </c>
      <c r="I157" s="217" t="str">
        <f>IF('E-Gilts'!A157&lt;'Adj-Gilts'!$B$10,'E-Gilts'!A157," ")</f>
        <v xml:space="preserve"> </v>
      </c>
      <c r="J157" s="25" t="str">
        <f>IF('E-Gilts'!A157&lt;'Adj-Gilts'!$B$10,'E-Gilts'!J157," ")</f>
        <v xml:space="preserve"> </v>
      </c>
      <c r="K157" s="27" t="str">
        <f>IF('E-Gilts'!A157&lt;'Adj-Gilts'!$B$10,'E-Gilts'!N157," ")</f>
        <v xml:space="preserve"> </v>
      </c>
      <c r="L157" s="115" t="str">
        <f>IF('E-Gilts'!A157&lt;'Adj-Gilts'!$B$10,'E-Gilts'!K157," ")</f>
        <v xml:space="preserve"> </v>
      </c>
      <c r="M157" t="str">
        <f>IF('E-Gilts'!A157&lt;'Adj-Gilts'!$B$10,'E-Gilts'!M157," ")</f>
        <v xml:space="preserve"> </v>
      </c>
      <c r="N157" s="29" t="str">
        <f>IF('E-Gilts'!A157&lt;'Adj-Gilts'!$B$10,1/L157," ")</f>
        <v xml:space="preserve"> </v>
      </c>
      <c r="P157" s="30" t="str">
        <f t="shared" si="9"/>
        <v/>
      </c>
      <c r="Q157" s="30" t="str">
        <f t="shared" si="10"/>
        <v/>
      </c>
      <c r="R157" s="30" t="str">
        <f t="shared" si="11"/>
        <v/>
      </c>
    </row>
    <row r="158" spans="1:18" x14ac:dyDescent="0.25">
      <c r="A158" s="27" t="str">
        <f>IF('E-Gilts'!A158&lt;'Adj-Gilts'!$B$10,'E-Gilts'!B158," ")</f>
        <v xml:space="preserve"> </v>
      </c>
      <c r="B158" s="25" t="str">
        <f>IF('E-Gilts'!A158&lt;'Adj-Gilts'!$B$10,'E-Gilts'!A158," ")</f>
        <v xml:space="preserve"> </v>
      </c>
      <c r="C158" s="25" t="str">
        <f>IF('E-Gilts'!A158&lt;'Adj-Gilts'!$B$10,'E-Gilts'!C158," ")</f>
        <v xml:space="preserve"> </v>
      </c>
      <c r="D158" s="27" t="str">
        <f>IF('E-Gilts'!A158&lt;'Adj-Gilts'!$B$10,'E-Gilts'!G158," ")</f>
        <v xml:space="preserve"> </v>
      </c>
      <c r="E158" s="26" t="str">
        <f>IF('E-Gilts'!A158&lt;'Adj-Gilts'!$B$10,'E-Gilts'!D158," ")</f>
        <v xml:space="preserve"> </v>
      </c>
      <c r="F158" s="26"/>
      <c r="G158" s="216" t="str">
        <f t="shared" si="8"/>
        <v xml:space="preserve"> </v>
      </c>
      <c r="H158" s="27" t="str">
        <f>IF('E-Gilts'!A158&lt;'Adj-Gilts'!$B$10,'E-Gilts'!I158," ")</f>
        <v xml:space="preserve"> </v>
      </c>
      <c r="I158" s="217" t="str">
        <f>IF('E-Gilts'!A158&lt;'Adj-Gilts'!$B$10,'E-Gilts'!A158," ")</f>
        <v xml:space="preserve"> </v>
      </c>
      <c r="J158" s="25" t="str">
        <f>IF('E-Gilts'!A158&lt;'Adj-Gilts'!$B$10,'E-Gilts'!J158," ")</f>
        <v xml:space="preserve"> </v>
      </c>
      <c r="K158" s="27" t="str">
        <f>IF('E-Gilts'!A158&lt;'Adj-Gilts'!$B$10,'E-Gilts'!N158," ")</f>
        <v xml:space="preserve"> </v>
      </c>
      <c r="L158" s="115" t="str">
        <f>IF('E-Gilts'!A158&lt;'Adj-Gilts'!$B$10,'E-Gilts'!K158," ")</f>
        <v xml:space="preserve"> </v>
      </c>
      <c r="M158" t="str">
        <f>IF('E-Gilts'!A158&lt;'Adj-Gilts'!$B$10,'E-Gilts'!M158," ")</f>
        <v xml:space="preserve"> </v>
      </c>
      <c r="N158" s="29" t="str">
        <f>IF('E-Gilts'!A158&lt;'Adj-Gilts'!$B$10,1/L158," ")</f>
        <v xml:space="preserve"> </v>
      </c>
      <c r="P158" s="30" t="str">
        <f t="shared" si="9"/>
        <v/>
      </c>
      <c r="Q158" s="30" t="str">
        <f t="shared" si="10"/>
        <v/>
      </c>
      <c r="R158" s="30" t="str">
        <f t="shared" si="11"/>
        <v/>
      </c>
    </row>
    <row r="159" spans="1:18" x14ac:dyDescent="0.25">
      <c r="A159" s="27" t="str">
        <f>IF('E-Gilts'!A159&lt;'Adj-Gilts'!$B$10,'E-Gilts'!B159," ")</f>
        <v xml:space="preserve"> </v>
      </c>
      <c r="B159" s="25" t="str">
        <f>IF('E-Gilts'!A159&lt;'Adj-Gilts'!$B$10,'E-Gilts'!A159," ")</f>
        <v xml:space="preserve"> </v>
      </c>
      <c r="C159" s="25" t="str">
        <f>IF('E-Gilts'!A159&lt;'Adj-Gilts'!$B$10,'E-Gilts'!C159," ")</f>
        <v xml:space="preserve"> </v>
      </c>
      <c r="D159" s="27" t="str">
        <f>IF('E-Gilts'!A159&lt;'Adj-Gilts'!$B$10,'E-Gilts'!G159," ")</f>
        <v xml:space="preserve"> </v>
      </c>
      <c r="E159" s="26" t="str">
        <f>IF('E-Gilts'!A159&lt;'Adj-Gilts'!$B$10,'E-Gilts'!D159," ")</f>
        <v xml:space="preserve"> </v>
      </c>
      <c r="F159" s="26"/>
      <c r="G159" s="216" t="str">
        <f t="shared" si="8"/>
        <v xml:space="preserve"> </v>
      </c>
      <c r="H159" s="27" t="str">
        <f>IF('E-Gilts'!A159&lt;'Adj-Gilts'!$B$10,'E-Gilts'!I159," ")</f>
        <v xml:space="preserve"> </v>
      </c>
      <c r="I159" s="217" t="str">
        <f>IF('E-Gilts'!A159&lt;'Adj-Gilts'!$B$10,'E-Gilts'!A159," ")</f>
        <v xml:space="preserve"> </v>
      </c>
      <c r="J159" s="25" t="str">
        <f>IF('E-Gilts'!A159&lt;'Adj-Gilts'!$B$10,'E-Gilts'!J159," ")</f>
        <v xml:space="preserve"> </v>
      </c>
      <c r="K159" s="27" t="str">
        <f>IF('E-Gilts'!A159&lt;'Adj-Gilts'!$B$10,'E-Gilts'!N159," ")</f>
        <v xml:space="preserve"> </v>
      </c>
      <c r="L159" s="115" t="str">
        <f>IF('E-Gilts'!A159&lt;'Adj-Gilts'!$B$10,'E-Gilts'!K159," ")</f>
        <v xml:space="preserve"> </v>
      </c>
      <c r="M159" t="str">
        <f>IF('E-Gilts'!A159&lt;'Adj-Gilts'!$B$10,'E-Gilts'!M159," ")</f>
        <v xml:space="preserve"> </v>
      </c>
      <c r="N159" s="29" t="str">
        <f>IF('E-Gilts'!A159&lt;'Adj-Gilts'!$B$10,1/L159," ")</f>
        <v xml:space="preserve"> </v>
      </c>
      <c r="P159" s="30" t="str">
        <f t="shared" si="9"/>
        <v/>
      </c>
      <c r="Q159" s="30" t="str">
        <f t="shared" si="10"/>
        <v/>
      </c>
      <c r="R159" s="30" t="str">
        <f t="shared" si="11"/>
        <v/>
      </c>
    </row>
    <row r="160" spans="1:18" x14ac:dyDescent="0.25">
      <c r="A160" s="27" t="str">
        <f>IF('E-Gilts'!A160&lt;'Adj-Gilts'!$B$10,'E-Gilts'!B160," ")</f>
        <v xml:space="preserve"> </v>
      </c>
      <c r="B160" s="25" t="str">
        <f>IF('E-Gilts'!A160&lt;'Adj-Gilts'!$B$10,'E-Gilts'!A160," ")</f>
        <v xml:space="preserve"> </v>
      </c>
      <c r="C160" s="25" t="str">
        <f>IF('E-Gilts'!A160&lt;'Adj-Gilts'!$B$10,'E-Gilts'!C160," ")</f>
        <v xml:space="preserve"> </v>
      </c>
      <c r="D160" s="27" t="str">
        <f>IF('E-Gilts'!A160&lt;'Adj-Gilts'!$B$10,'E-Gilts'!G160," ")</f>
        <v xml:space="preserve"> </v>
      </c>
      <c r="E160" s="26" t="str">
        <f>IF('E-Gilts'!A160&lt;'Adj-Gilts'!$B$10,'E-Gilts'!D160," ")</f>
        <v xml:space="preserve"> </v>
      </c>
      <c r="F160" s="26"/>
      <c r="G160" s="216" t="str">
        <f t="shared" si="8"/>
        <v xml:space="preserve"> </v>
      </c>
      <c r="H160" s="27" t="str">
        <f>IF('E-Gilts'!A160&lt;'Adj-Gilts'!$B$10,'E-Gilts'!I160," ")</f>
        <v xml:space="preserve"> </v>
      </c>
      <c r="I160" s="217" t="str">
        <f>IF('E-Gilts'!A160&lt;'Adj-Gilts'!$B$10,'E-Gilts'!A160," ")</f>
        <v xml:space="preserve"> </v>
      </c>
      <c r="J160" s="25" t="str">
        <f>IF('E-Gilts'!A160&lt;'Adj-Gilts'!$B$10,'E-Gilts'!J160," ")</f>
        <v xml:space="preserve"> </v>
      </c>
      <c r="K160" s="27" t="str">
        <f>IF('E-Gilts'!A160&lt;'Adj-Gilts'!$B$10,'E-Gilts'!N160," ")</f>
        <v xml:space="preserve"> </v>
      </c>
      <c r="L160" s="115" t="str">
        <f>IF('E-Gilts'!A160&lt;'Adj-Gilts'!$B$10,'E-Gilts'!K160," ")</f>
        <v xml:space="preserve"> </v>
      </c>
      <c r="M160" t="str">
        <f>IF('E-Gilts'!A160&lt;'Adj-Gilts'!$B$10,'E-Gilts'!M160," ")</f>
        <v xml:space="preserve"> </v>
      </c>
      <c r="N160" s="29" t="str">
        <f>IF('E-Gilts'!A160&lt;'Adj-Gilts'!$B$10,1/L160," ")</f>
        <v xml:space="preserve"> </v>
      </c>
      <c r="P160" s="30" t="str">
        <f t="shared" si="9"/>
        <v/>
      </c>
      <c r="Q160" s="30" t="str">
        <f t="shared" si="10"/>
        <v/>
      </c>
      <c r="R160" s="30" t="str">
        <f t="shared" si="11"/>
        <v/>
      </c>
    </row>
    <row r="161" spans="1:18" x14ac:dyDescent="0.25">
      <c r="A161" s="27" t="str">
        <f>IF('E-Gilts'!A161&lt;'Adj-Gilts'!$B$10,'E-Gilts'!B161," ")</f>
        <v xml:space="preserve"> </v>
      </c>
      <c r="B161" s="25" t="str">
        <f>IF('E-Gilts'!A161&lt;'Adj-Gilts'!$B$10,'E-Gilts'!A161," ")</f>
        <v xml:space="preserve"> </v>
      </c>
      <c r="C161" s="25" t="str">
        <f>IF('E-Gilts'!A161&lt;'Adj-Gilts'!$B$10,'E-Gilts'!C161," ")</f>
        <v xml:space="preserve"> </v>
      </c>
      <c r="D161" s="27" t="str">
        <f>IF('E-Gilts'!A161&lt;'Adj-Gilts'!$B$10,'E-Gilts'!G161," ")</f>
        <v xml:space="preserve"> </v>
      </c>
      <c r="E161" s="26" t="str">
        <f>IF('E-Gilts'!A161&lt;'Adj-Gilts'!$B$10,'E-Gilts'!D161," ")</f>
        <v xml:space="preserve"> </v>
      </c>
      <c r="F161" s="26"/>
      <c r="G161" s="216" t="str">
        <f t="shared" si="8"/>
        <v xml:space="preserve"> </v>
      </c>
      <c r="H161" s="27" t="str">
        <f>IF('E-Gilts'!A161&lt;'Adj-Gilts'!$B$10,'E-Gilts'!I161," ")</f>
        <v xml:space="preserve"> </v>
      </c>
      <c r="I161" s="217" t="str">
        <f>IF('E-Gilts'!A161&lt;'Adj-Gilts'!$B$10,'E-Gilts'!A161," ")</f>
        <v xml:space="preserve"> </v>
      </c>
      <c r="J161" s="25" t="str">
        <f>IF('E-Gilts'!A161&lt;'Adj-Gilts'!$B$10,'E-Gilts'!J161," ")</f>
        <v xml:space="preserve"> </v>
      </c>
      <c r="K161" s="27" t="str">
        <f>IF('E-Gilts'!A161&lt;'Adj-Gilts'!$B$10,'E-Gilts'!N161," ")</f>
        <v xml:space="preserve"> </v>
      </c>
      <c r="L161" s="115" t="str">
        <f>IF('E-Gilts'!A161&lt;'Adj-Gilts'!$B$10,'E-Gilts'!K161," ")</f>
        <v xml:space="preserve"> </v>
      </c>
      <c r="M161" t="str">
        <f>IF('E-Gilts'!A161&lt;'Adj-Gilts'!$B$10,'E-Gilts'!M161," ")</f>
        <v xml:space="preserve"> </v>
      </c>
      <c r="N161" s="29" t="str">
        <f>IF('E-Gilts'!A161&lt;'Adj-Gilts'!$B$10,1/L161," ")</f>
        <v xml:space="preserve"> </v>
      </c>
      <c r="P161" s="30" t="str">
        <f t="shared" si="9"/>
        <v/>
      </c>
      <c r="Q161" s="30" t="str">
        <f t="shared" si="10"/>
        <v/>
      </c>
      <c r="R161" s="30" t="str">
        <f t="shared" si="11"/>
        <v/>
      </c>
    </row>
    <row r="162" spans="1:18" x14ac:dyDescent="0.25">
      <c r="A162" s="27" t="str">
        <f>IF('E-Gilts'!A162&lt;'Adj-Gilts'!$B$10,'E-Gilts'!B162," ")</f>
        <v xml:space="preserve"> </v>
      </c>
      <c r="B162" s="25" t="str">
        <f>IF('E-Gilts'!A162&lt;'Adj-Gilts'!$B$10,'E-Gilts'!A162," ")</f>
        <v xml:space="preserve"> </v>
      </c>
      <c r="C162" s="25" t="str">
        <f>IF('E-Gilts'!A162&lt;'Adj-Gilts'!$B$10,'E-Gilts'!C162," ")</f>
        <v xml:space="preserve"> </v>
      </c>
      <c r="D162" s="27" t="str">
        <f>IF('E-Gilts'!A162&lt;'Adj-Gilts'!$B$10,'E-Gilts'!G162," ")</f>
        <v xml:space="preserve"> </v>
      </c>
      <c r="E162" s="26" t="str">
        <f>IF('E-Gilts'!A162&lt;'Adj-Gilts'!$B$10,'E-Gilts'!D162," ")</f>
        <v xml:space="preserve"> </v>
      </c>
      <c r="F162" s="26"/>
      <c r="G162" s="216" t="str">
        <f t="shared" si="8"/>
        <v xml:space="preserve"> </v>
      </c>
      <c r="H162" s="27" t="str">
        <f>IF('E-Gilts'!A162&lt;'Adj-Gilts'!$B$10,'E-Gilts'!I162," ")</f>
        <v xml:space="preserve"> </v>
      </c>
      <c r="I162" s="217" t="str">
        <f>IF('E-Gilts'!A162&lt;'Adj-Gilts'!$B$10,'E-Gilts'!A162," ")</f>
        <v xml:space="preserve"> </v>
      </c>
      <c r="J162" s="25" t="str">
        <f>IF('E-Gilts'!A162&lt;'Adj-Gilts'!$B$10,'E-Gilts'!J162," ")</f>
        <v xml:space="preserve"> </v>
      </c>
      <c r="K162" s="27" t="str">
        <f>IF('E-Gilts'!A162&lt;'Adj-Gilts'!$B$10,'E-Gilts'!N162," ")</f>
        <v xml:space="preserve"> </v>
      </c>
      <c r="L162" s="115" t="str">
        <f>IF('E-Gilts'!A162&lt;'Adj-Gilts'!$B$10,'E-Gilts'!K162," ")</f>
        <v xml:space="preserve"> </v>
      </c>
      <c r="M162" t="str">
        <f>IF('E-Gilts'!A162&lt;'Adj-Gilts'!$B$10,'E-Gilts'!M162," ")</f>
        <v xml:space="preserve"> </v>
      </c>
      <c r="N162" s="29" t="str">
        <f>IF('E-Gilts'!A162&lt;'Adj-Gilts'!$B$10,1/L162," ")</f>
        <v xml:space="preserve"> </v>
      </c>
      <c r="P162" s="30" t="str">
        <f t="shared" si="9"/>
        <v/>
      </c>
      <c r="Q162" s="30" t="str">
        <f t="shared" si="10"/>
        <v/>
      </c>
      <c r="R162" s="30" t="str">
        <f t="shared" si="11"/>
        <v/>
      </c>
    </row>
    <row r="163" spans="1:18" x14ac:dyDescent="0.25">
      <c r="A163" s="27" t="str">
        <f>IF('E-Gilts'!A163&lt;'Adj-Gilts'!$B$10,'E-Gilts'!B163," ")</f>
        <v xml:space="preserve"> </v>
      </c>
      <c r="B163" s="25" t="str">
        <f>IF('E-Gilts'!A163&lt;'Adj-Gilts'!$B$10,'E-Gilts'!A163," ")</f>
        <v xml:space="preserve"> </v>
      </c>
      <c r="C163" s="25" t="str">
        <f>IF('E-Gilts'!A163&lt;'Adj-Gilts'!$B$10,'E-Gilts'!C163," ")</f>
        <v xml:space="preserve"> </v>
      </c>
      <c r="D163" s="27" t="str">
        <f>IF('E-Gilts'!A163&lt;'Adj-Gilts'!$B$10,'E-Gilts'!G163," ")</f>
        <v xml:space="preserve"> </v>
      </c>
      <c r="E163" s="26" t="str">
        <f>IF('E-Gilts'!A163&lt;'Adj-Gilts'!$B$10,'E-Gilts'!D163," ")</f>
        <v xml:space="preserve"> </v>
      </c>
      <c r="F163" s="26"/>
      <c r="G163" s="216" t="str">
        <f t="shared" si="8"/>
        <v xml:space="preserve"> </v>
      </c>
      <c r="H163" s="27" t="str">
        <f>IF('E-Gilts'!A163&lt;'Adj-Gilts'!$B$10,'E-Gilts'!I163," ")</f>
        <v xml:space="preserve"> </v>
      </c>
      <c r="I163" s="217" t="str">
        <f>IF('E-Gilts'!A163&lt;'Adj-Gilts'!$B$10,'E-Gilts'!A163," ")</f>
        <v xml:space="preserve"> </v>
      </c>
      <c r="J163" s="25" t="str">
        <f>IF('E-Gilts'!A163&lt;'Adj-Gilts'!$B$10,'E-Gilts'!J163," ")</f>
        <v xml:space="preserve"> </v>
      </c>
      <c r="K163" s="27" t="str">
        <f>IF('E-Gilts'!A163&lt;'Adj-Gilts'!$B$10,'E-Gilts'!N163," ")</f>
        <v xml:space="preserve"> </v>
      </c>
      <c r="L163" s="115" t="str">
        <f>IF('E-Gilts'!A163&lt;'Adj-Gilts'!$B$10,'E-Gilts'!K163," ")</f>
        <v xml:space="preserve"> </v>
      </c>
      <c r="M163" t="str">
        <f>IF('E-Gilts'!A163&lt;'Adj-Gilts'!$B$10,'E-Gilts'!M163," ")</f>
        <v xml:space="preserve"> </v>
      </c>
      <c r="N163" s="29" t="str">
        <f>IF('E-Gilts'!A163&lt;'Adj-Gilts'!$B$10,1/L163," ")</f>
        <v xml:space="preserve"> </v>
      </c>
      <c r="P163" s="30" t="str">
        <f t="shared" si="9"/>
        <v/>
      </c>
      <c r="Q163" s="30" t="str">
        <f t="shared" si="10"/>
        <v/>
      </c>
      <c r="R163" s="30" t="str">
        <f t="shared" si="11"/>
        <v/>
      </c>
    </row>
    <row r="164" spans="1:18" x14ac:dyDescent="0.25">
      <c r="A164" s="27" t="str">
        <f>IF('E-Gilts'!A164&lt;'Adj-Gilts'!$B$10,'E-Gilts'!B164," ")</f>
        <v xml:space="preserve"> </v>
      </c>
      <c r="B164" s="25" t="str">
        <f>IF('E-Gilts'!A164&lt;'Adj-Gilts'!$B$10,'E-Gilts'!A164," ")</f>
        <v xml:space="preserve"> </v>
      </c>
      <c r="C164" s="25" t="str">
        <f>IF('E-Gilts'!A164&lt;'Adj-Gilts'!$B$10,'E-Gilts'!C164," ")</f>
        <v xml:space="preserve"> </v>
      </c>
      <c r="D164" s="27" t="str">
        <f>IF('E-Gilts'!A164&lt;'Adj-Gilts'!$B$10,'E-Gilts'!G164," ")</f>
        <v xml:space="preserve"> </v>
      </c>
      <c r="E164" s="26" t="str">
        <f>IF('E-Gilts'!A164&lt;'Adj-Gilts'!$B$10,'E-Gilts'!D164," ")</f>
        <v xml:space="preserve"> </v>
      </c>
      <c r="F164" s="26"/>
      <c r="G164" s="216" t="str">
        <f t="shared" si="8"/>
        <v xml:space="preserve"> </v>
      </c>
      <c r="H164" s="27" t="str">
        <f>IF('E-Gilts'!A164&lt;'Adj-Gilts'!$B$10,'E-Gilts'!I164," ")</f>
        <v xml:space="preserve"> </v>
      </c>
      <c r="I164" s="217" t="str">
        <f>IF('E-Gilts'!A164&lt;'Adj-Gilts'!$B$10,'E-Gilts'!A164," ")</f>
        <v xml:space="preserve"> </v>
      </c>
      <c r="J164" s="25" t="str">
        <f>IF('E-Gilts'!A164&lt;'Adj-Gilts'!$B$10,'E-Gilts'!J164," ")</f>
        <v xml:space="preserve"> </v>
      </c>
      <c r="K164" s="27" t="str">
        <f>IF('E-Gilts'!A164&lt;'Adj-Gilts'!$B$10,'E-Gilts'!N164," ")</f>
        <v xml:space="preserve"> </v>
      </c>
      <c r="L164" s="115" t="str">
        <f>IF('E-Gilts'!A164&lt;'Adj-Gilts'!$B$10,'E-Gilts'!K164," ")</f>
        <v xml:space="preserve"> </v>
      </c>
      <c r="M164" t="str">
        <f>IF('E-Gilts'!A164&lt;'Adj-Gilts'!$B$10,'E-Gilts'!M164," ")</f>
        <v xml:space="preserve"> </v>
      </c>
      <c r="N164" s="29" t="str">
        <f>IF('E-Gilts'!A164&lt;'Adj-Gilts'!$B$10,1/L164," ")</f>
        <v xml:space="preserve"> </v>
      </c>
      <c r="P164" s="30" t="str">
        <f t="shared" si="9"/>
        <v/>
      </c>
      <c r="Q164" s="30" t="str">
        <f t="shared" si="10"/>
        <v/>
      </c>
      <c r="R164" s="30" t="str">
        <f t="shared" si="11"/>
        <v/>
      </c>
    </row>
    <row r="165" spans="1:18" x14ac:dyDescent="0.25">
      <c r="A165" s="27" t="str">
        <f>IF('E-Gilts'!A165&lt;'Adj-Gilts'!$B$10,'E-Gilts'!B165," ")</f>
        <v xml:space="preserve"> </v>
      </c>
      <c r="B165" s="25" t="str">
        <f>IF('E-Gilts'!A165&lt;'Adj-Gilts'!$B$10,'E-Gilts'!A165," ")</f>
        <v xml:space="preserve"> </v>
      </c>
      <c r="C165" s="25" t="str">
        <f>IF('E-Gilts'!A165&lt;'Adj-Gilts'!$B$10,'E-Gilts'!C165," ")</f>
        <v xml:space="preserve"> </v>
      </c>
      <c r="D165" s="27" t="str">
        <f>IF('E-Gilts'!A165&lt;'Adj-Gilts'!$B$10,'E-Gilts'!G165," ")</f>
        <v xml:space="preserve"> </v>
      </c>
      <c r="E165" s="26" t="str">
        <f>IF('E-Gilts'!A165&lt;'Adj-Gilts'!$B$10,'E-Gilts'!D165," ")</f>
        <v xml:space="preserve"> </v>
      </c>
      <c r="F165" s="26"/>
      <c r="G165" s="216" t="str">
        <f t="shared" si="8"/>
        <v xml:space="preserve"> </v>
      </c>
      <c r="H165" s="27" t="str">
        <f>IF('E-Gilts'!A165&lt;'Adj-Gilts'!$B$10,'E-Gilts'!I165," ")</f>
        <v xml:space="preserve"> </v>
      </c>
      <c r="I165" s="217" t="str">
        <f>IF('E-Gilts'!A165&lt;'Adj-Gilts'!$B$10,'E-Gilts'!A165," ")</f>
        <v xml:space="preserve"> </v>
      </c>
      <c r="J165" s="25" t="str">
        <f>IF('E-Gilts'!A165&lt;'Adj-Gilts'!$B$10,'E-Gilts'!J165," ")</f>
        <v xml:space="preserve"> </v>
      </c>
      <c r="K165" s="27" t="str">
        <f>IF('E-Gilts'!A165&lt;'Adj-Gilts'!$B$10,'E-Gilts'!N165," ")</f>
        <v xml:space="preserve"> </v>
      </c>
      <c r="L165" s="115" t="str">
        <f>IF('E-Gilts'!A165&lt;'Adj-Gilts'!$B$10,'E-Gilts'!K165," ")</f>
        <v xml:space="preserve"> </v>
      </c>
      <c r="M165" t="str">
        <f>IF('E-Gilts'!A165&lt;'Adj-Gilts'!$B$10,'E-Gilts'!M165," ")</f>
        <v xml:space="preserve"> </v>
      </c>
      <c r="N165" s="29" t="str">
        <f>IF('E-Gilts'!A165&lt;'Adj-Gilts'!$B$10,1/L165," ")</f>
        <v xml:space="preserve"> </v>
      </c>
      <c r="P165" s="30" t="str">
        <f t="shared" si="9"/>
        <v/>
      </c>
      <c r="Q165" s="30" t="str">
        <f t="shared" si="10"/>
        <v/>
      </c>
      <c r="R165" s="30" t="str">
        <f t="shared" si="11"/>
        <v/>
      </c>
    </row>
    <row r="166" spans="1:18" x14ac:dyDescent="0.25">
      <c r="A166" s="27" t="str">
        <f>IF('E-Gilts'!A166&lt;'Adj-Gilts'!$B$10,'E-Gilts'!B166," ")</f>
        <v xml:space="preserve"> </v>
      </c>
      <c r="B166" s="25" t="str">
        <f>IF('E-Gilts'!A166&lt;'Adj-Gilts'!$B$10,'E-Gilts'!A166," ")</f>
        <v xml:space="preserve"> </v>
      </c>
      <c r="C166" s="25" t="str">
        <f>IF('E-Gilts'!A166&lt;'Adj-Gilts'!$B$10,'E-Gilts'!C166," ")</f>
        <v xml:space="preserve"> </v>
      </c>
      <c r="D166" s="27" t="str">
        <f>IF('E-Gilts'!A166&lt;'Adj-Gilts'!$B$10,'E-Gilts'!G166," ")</f>
        <v xml:space="preserve"> </v>
      </c>
      <c r="E166" s="26" t="str">
        <f>IF('E-Gilts'!A166&lt;'Adj-Gilts'!$B$10,'E-Gilts'!D166," ")</f>
        <v xml:space="preserve"> </v>
      </c>
      <c r="F166" s="26"/>
      <c r="G166" s="216" t="str">
        <f t="shared" si="8"/>
        <v xml:space="preserve"> </v>
      </c>
      <c r="H166" s="27" t="str">
        <f>IF('E-Gilts'!A166&lt;'Adj-Gilts'!$B$10,'E-Gilts'!I166," ")</f>
        <v xml:space="preserve"> </v>
      </c>
      <c r="I166" s="217" t="str">
        <f>IF('E-Gilts'!A166&lt;'Adj-Gilts'!$B$10,'E-Gilts'!A166," ")</f>
        <v xml:space="preserve"> </v>
      </c>
      <c r="J166" s="25" t="str">
        <f>IF('E-Gilts'!A166&lt;'Adj-Gilts'!$B$10,'E-Gilts'!J166," ")</f>
        <v xml:space="preserve"> </v>
      </c>
      <c r="K166" s="27" t="str">
        <f>IF('E-Gilts'!A166&lt;'Adj-Gilts'!$B$10,'E-Gilts'!N166," ")</f>
        <v xml:space="preserve"> </v>
      </c>
      <c r="L166" s="115" t="str">
        <f>IF('E-Gilts'!A166&lt;'Adj-Gilts'!$B$10,'E-Gilts'!K166," ")</f>
        <v xml:space="preserve"> </v>
      </c>
      <c r="M166" t="str">
        <f>IF('E-Gilts'!A166&lt;'Adj-Gilts'!$B$10,'E-Gilts'!M166," ")</f>
        <v xml:space="preserve"> </v>
      </c>
      <c r="N166" s="29" t="str">
        <f>IF('E-Gilts'!A166&lt;'Adj-Gilts'!$B$10,1/L166," ")</f>
        <v xml:space="preserve"> </v>
      </c>
      <c r="P166" s="30" t="str">
        <f t="shared" si="9"/>
        <v/>
      </c>
      <c r="Q166" s="30" t="str">
        <f t="shared" si="10"/>
        <v/>
      </c>
      <c r="R166" s="30" t="str">
        <f t="shared" si="11"/>
        <v/>
      </c>
    </row>
    <row r="167" spans="1:18" x14ac:dyDescent="0.25">
      <c r="A167" s="27" t="str">
        <f>IF('E-Gilts'!A167&lt;'Adj-Gilts'!$B$10,'E-Gilts'!B167," ")</f>
        <v xml:space="preserve"> </v>
      </c>
      <c r="B167" s="25" t="str">
        <f>IF('E-Gilts'!A167&lt;'Adj-Gilts'!$B$10,'E-Gilts'!A167," ")</f>
        <v xml:space="preserve"> </v>
      </c>
      <c r="C167" s="25" t="str">
        <f>IF('E-Gilts'!A167&lt;'Adj-Gilts'!$B$10,'E-Gilts'!C167," ")</f>
        <v xml:space="preserve"> </v>
      </c>
      <c r="D167" s="27" t="str">
        <f>IF('E-Gilts'!A167&lt;'Adj-Gilts'!$B$10,'E-Gilts'!G167," ")</f>
        <v xml:space="preserve"> </v>
      </c>
      <c r="E167" s="26" t="str">
        <f>IF('E-Gilts'!A167&lt;'Adj-Gilts'!$B$10,'E-Gilts'!D167," ")</f>
        <v xml:space="preserve"> </v>
      </c>
      <c r="F167" s="26"/>
      <c r="G167" s="216" t="str">
        <f t="shared" si="8"/>
        <v xml:space="preserve"> </v>
      </c>
      <c r="H167" s="27" t="str">
        <f>IF('E-Gilts'!A167&lt;'Adj-Gilts'!$B$10,'E-Gilts'!I167," ")</f>
        <v xml:space="preserve"> </v>
      </c>
      <c r="I167" s="217" t="str">
        <f>IF('E-Gilts'!A167&lt;'Adj-Gilts'!$B$10,'E-Gilts'!A167," ")</f>
        <v xml:space="preserve"> </v>
      </c>
      <c r="J167" s="25" t="str">
        <f>IF('E-Gilts'!A167&lt;'Adj-Gilts'!$B$10,'E-Gilts'!J167," ")</f>
        <v xml:space="preserve"> </v>
      </c>
      <c r="K167" s="27" t="str">
        <f>IF('E-Gilts'!A167&lt;'Adj-Gilts'!$B$10,'E-Gilts'!N167," ")</f>
        <v xml:space="preserve"> </v>
      </c>
      <c r="L167" s="115" t="str">
        <f>IF('E-Gilts'!A167&lt;'Adj-Gilts'!$B$10,'E-Gilts'!K167," ")</f>
        <v xml:space="preserve"> </v>
      </c>
      <c r="M167" t="str">
        <f>IF('E-Gilts'!A167&lt;'Adj-Gilts'!$B$10,'E-Gilts'!M167," ")</f>
        <v xml:space="preserve"> </v>
      </c>
      <c r="N167" s="29" t="str">
        <f>IF('E-Gilts'!A167&lt;'Adj-Gilts'!$B$10,1/L167," ")</f>
        <v xml:space="preserve"> </v>
      </c>
      <c r="P167" s="30" t="str">
        <f t="shared" si="9"/>
        <v/>
      </c>
      <c r="Q167" s="30" t="str">
        <f t="shared" si="10"/>
        <v/>
      </c>
      <c r="R167" s="30" t="str">
        <f t="shared" si="11"/>
        <v/>
      </c>
    </row>
    <row r="168" spans="1:18" x14ac:dyDescent="0.25">
      <c r="A168" s="27" t="str">
        <f>IF('E-Gilts'!A168&lt;'Adj-Gilts'!$B$10,'E-Gilts'!B168," ")</f>
        <v xml:space="preserve"> </v>
      </c>
      <c r="B168" s="25" t="str">
        <f>IF('E-Gilts'!A168&lt;'Adj-Gilts'!$B$10,'E-Gilts'!A168," ")</f>
        <v xml:space="preserve"> </v>
      </c>
      <c r="C168" s="25" t="str">
        <f>IF('E-Gilts'!A168&lt;'Adj-Gilts'!$B$10,'E-Gilts'!C168," ")</f>
        <v xml:space="preserve"> </v>
      </c>
      <c r="D168" s="27" t="str">
        <f>IF('E-Gilts'!A168&lt;'Adj-Gilts'!$B$10,'E-Gilts'!G168," ")</f>
        <v xml:space="preserve"> </v>
      </c>
      <c r="E168" s="26" t="str">
        <f>IF('E-Gilts'!A168&lt;'Adj-Gilts'!$B$10,'E-Gilts'!D168," ")</f>
        <v xml:space="preserve"> </v>
      </c>
      <c r="F168" s="26"/>
      <c r="G168" s="216" t="str">
        <f t="shared" si="8"/>
        <v xml:space="preserve"> </v>
      </c>
      <c r="H168" s="27" t="str">
        <f>IF('E-Gilts'!A168&lt;'Adj-Gilts'!$B$10,'E-Gilts'!I168," ")</f>
        <v xml:space="preserve"> </v>
      </c>
      <c r="I168" s="217" t="str">
        <f>IF('E-Gilts'!A168&lt;'Adj-Gilts'!$B$10,'E-Gilts'!A168," ")</f>
        <v xml:space="preserve"> </v>
      </c>
      <c r="J168" s="25" t="str">
        <f>IF('E-Gilts'!A168&lt;'Adj-Gilts'!$B$10,'E-Gilts'!J168," ")</f>
        <v xml:space="preserve"> </v>
      </c>
      <c r="K168" s="27" t="str">
        <f>IF('E-Gilts'!A168&lt;'Adj-Gilts'!$B$10,'E-Gilts'!N168," ")</f>
        <v xml:space="preserve"> </v>
      </c>
      <c r="L168" s="115" t="str">
        <f>IF('E-Gilts'!A168&lt;'Adj-Gilts'!$B$10,'E-Gilts'!K168," ")</f>
        <v xml:space="preserve"> </v>
      </c>
      <c r="M168" t="str">
        <f>IF('E-Gilts'!A168&lt;'Adj-Gilts'!$B$10,'E-Gilts'!M168," ")</f>
        <v xml:space="preserve"> </v>
      </c>
      <c r="N168" s="29" t="str">
        <f>IF('E-Gilts'!A168&lt;'Adj-Gilts'!$B$10,1/L168," ")</f>
        <v xml:space="preserve"> </v>
      </c>
      <c r="P168" s="30" t="str">
        <f t="shared" si="9"/>
        <v/>
      </c>
      <c r="Q168" s="30" t="str">
        <f t="shared" si="10"/>
        <v/>
      </c>
      <c r="R168" s="30" t="str">
        <f t="shared" si="11"/>
        <v/>
      </c>
    </row>
    <row r="169" spans="1:18" x14ac:dyDescent="0.25">
      <c r="A169" s="27" t="str">
        <f>IF('E-Gilts'!A169&lt;'Adj-Gilts'!$B$10,'E-Gilts'!B169," ")</f>
        <v xml:space="preserve"> </v>
      </c>
      <c r="B169" s="25" t="str">
        <f>IF('E-Gilts'!A169&lt;'Adj-Gilts'!$B$10,'E-Gilts'!A169," ")</f>
        <v xml:space="preserve"> </v>
      </c>
      <c r="C169" s="25" t="str">
        <f>IF('E-Gilts'!A169&lt;'Adj-Gilts'!$B$10,'E-Gilts'!C169," ")</f>
        <v xml:space="preserve"> </v>
      </c>
      <c r="D169" s="27" t="str">
        <f>IF('E-Gilts'!A169&lt;'Adj-Gilts'!$B$10,'E-Gilts'!G169," ")</f>
        <v xml:space="preserve"> </v>
      </c>
      <c r="E169" s="26" t="str">
        <f>IF('E-Gilts'!A169&lt;'Adj-Gilts'!$B$10,'E-Gilts'!D169," ")</f>
        <v xml:space="preserve"> </v>
      </c>
      <c r="F169" s="26"/>
      <c r="G169" s="216" t="str">
        <f t="shared" si="8"/>
        <v xml:space="preserve"> </v>
      </c>
      <c r="H169" s="27" t="str">
        <f>IF('E-Gilts'!A169&lt;'Adj-Gilts'!$B$10,'E-Gilts'!I169," ")</f>
        <v xml:space="preserve"> </v>
      </c>
      <c r="I169" s="217" t="str">
        <f>IF('E-Gilts'!A169&lt;'Adj-Gilts'!$B$10,'E-Gilts'!A169," ")</f>
        <v xml:space="preserve"> </v>
      </c>
      <c r="J169" s="25" t="str">
        <f>IF('E-Gilts'!A169&lt;'Adj-Gilts'!$B$10,'E-Gilts'!J169," ")</f>
        <v xml:space="preserve"> </v>
      </c>
      <c r="K169" s="27" t="str">
        <f>IF('E-Gilts'!A169&lt;'Adj-Gilts'!$B$10,'E-Gilts'!N169," ")</f>
        <v xml:space="preserve"> </v>
      </c>
      <c r="L169" s="115" t="str">
        <f>IF('E-Gilts'!A169&lt;'Adj-Gilts'!$B$10,'E-Gilts'!K169," ")</f>
        <v xml:space="preserve"> </v>
      </c>
      <c r="M169" t="str">
        <f>IF('E-Gilts'!A169&lt;'Adj-Gilts'!$B$10,'E-Gilts'!M169," ")</f>
        <v xml:space="preserve"> </v>
      </c>
      <c r="N169" s="29" t="str">
        <f>IF('E-Gilts'!A169&lt;'Adj-Gilts'!$B$10,1/L169," ")</f>
        <v xml:space="preserve"> </v>
      </c>
      <c r="P169" s="30" t="str">
        <f t="shared" si="9"/>
        <v/>
      </c>
      <c r="Q169" s="30" t="str">
        <f t="shared" si="10"/>
        <v/>
      </c>
      <c r="R169" s="30" t="str">
        <f t="shared" si="11"/>
        <v/>
      </c>
    </row>
    <row r="170" spans="1:18" x14ac:dyDescent="0.25">
      <c r="A170" s="27" t="str">
        <f>IF('E-Gilts'!A170&lt;'Adj-Gilts'!$B$10,'E-Gilts'!B170," ")</f>
        <v xml:space="preserve"> </v>
      </c>
      <c r="B170" s="25" t="str">
        <f>IF('E-Gilts'!A170&lt;'Adj-Gilts'!$B$10,'E-Gilts'!A170," ")</f>
        <v xml:space="preserve"> </v>
      </c>
      <c r="C170" s="25" t="str">
        <f>IF('E-Gilts'!A170&lt;'Adj-Gilts'!$B$10,'E-Gilts'!C170," ")</f>
        <v xml:space="preserve"> </v>
      </c>
      <c r="D170" s="27" t="str">
        <f>IF('E-Gilts'!A170&lt;'Adj-Gilts'!$B$10,'E-Gilts'!G170," ")</f>
        <v xml:space="preserve"> </v>
      </c>
      <c r="E170" s="26" t="str">
        <f>IF('E-Gilts'!A170&lt;'Adj-Gilts'!$B$10,'E-Gilts'!D170," ")</f>
        <v xml:space="preserve"> </v>
      </c>
      <c r="F170" s="26"/>
      <c r="G170" s="216" t="str">
        <f t="shared" si="8"/>
        <v xml:space="preserve"> </v>
      </c>
      <c r="H170" s="27" t="str">
        <f>IF('E-Gilts'!A170&lt;'Adj-Gilts'!$B$10,'E-Gilts'!I170," ")</f>
        <v xml:space="preserve"> </v>
      </c>
      <c r="I170" s="217" t="str">
        <f>IF('E-Gilts'!A170&lt;'Adj-Gilts'!$B$10,'E-Gilts'!A170," ")</f>
        <v xml:space="preserve"> </v>
      </c>
      <c r="J170" s="25" t="str">
        <f>IF('E-Gilts'!A170&lt;'Adj-Gilts'!$B$10,'E-Gilts'!J170," ")</f>
        <v xml:space="preserve"> </v>
      </c>
      <c r="K170" s="27" t="str">
        <f>IF('E-Gilts'!A170&lt;'Adj-Gilts'!$B$10,'E-Gilts'!N170," ")</f>
        <v xml:space="preserve"> </v>
      </c>
      <c r="L170" s="115" t="str">
        <f>IF('E-Gilts'!A170&lt;'Adj-Gilts'!$B$10,'E-Gilts'!K170," ")</f>
        <v xml:space="preserve"> </v>
      </c>
      <c r="M170" t="str">
        <f>IF('E-Gilts'!A170&lt;'Adj-Gilts'!$B$10,'E-Gilts'!M170," ")</f>
        <v xml:space="preserve"> </v>
      </c>
      <c r="N170" s="29" t="str">
        <f>IF('E-Gilts'!A170&lt;'Adj-Gilts'!$B$10,1/L170," ")</f>
        <v xml:space="preserve"> </v>
      </c>
      <c r="P170" s="30" t="str">
        <f t="shared" si="9"/>
        <v/>
      </c>
      <c r="Q170" s="30" t="str">
        <f t="shared" si="10"/>
        <v/>
      </c>
      <c r="R170" s="30" t="str">
        <f t="shared" si="11"/>
        <v/>
      </c>
    </row>
    <row r="171" spans="1:18" x14ac:dyDescent="0.25">
      <c r="A171" s="27" t="str">
        <f>IF('E-Gilts'!A171&lt;'Adj-Gilts'!$B$10,'E-Gilts'!B171," ")</f>
        <v xml:space="preserve"> </v>
      </c>
      <c r="B171" s="25" t="str">
        <f>IF('E-Gilts'!A171&lt;'Adj-Gilts'!$B$10,'E-Gilts'!A171," ")</f>
        <v xml:space="preserve"> </v>
      </c>
      <c r="C171" s="25" t="str">
        <f>IF('E-Gilts'!A171&lt;'Adj-Gilts'!$B$10,'E-Gilts'!C171," ")</f>
        <v xml:space="preserve"> </v>
      </c>
      <c r="D171" s="27" t="str">
        <f>IF('E-Gilts'!A171&lt;'Adj-Gilts'!$B$10,'E-Gilts'!G171," ")</f>
        <v xml:space="preserve"> </v>
      </c>
      <c r="E171" s="26" t="str">
        <f>IF('E-Gilts'!A171&lt;'Adj-Gilts'!$B$10,'E-Gilts'!D171," ")</f>
        <v xml:space="preserve"> </v>
      </c>
      <c r="F171" s="26"/>
      <c r="G171" s="216" t="str">
        <f t="shared" si="8"/>
        <v xml:space="preserve"> </v>
      </c>
      <c r="H171" s="27" t="str">
        <f>IF('E-Gilts'!A171&lt;'Adj-Gilts'!$B$10,'E-Gilts'!I171," ")</f>
        <v xml:space="preserve"> </v>
      </c>
      <c r="I171" s="217" t="str">
        <f>IF('E-Gilts'!A171&lt;'Adj-Gilts'!$B$10,'E-Gilts'!A171," ")</f>
        <v xml:space="preserve"> </v>
      </c>
      <c r="J171" s="25" t="str">
        <f>IF('E-Gilts'!A171&lt;'Adj-Gilts'!$B$10,'E-Gilts'!J171," ")</f>
        <v xml:space="preserve"> </v>
      </c>
      <c r="K171" s="27" t="str">
        <f>IF('E-Gilts'!A171&lt;'Adj-Gilts'!$B$10,'E-Gilts'!N171," ")</f>
        <v xml:space="preserve"> </v>
      </c>
      <c r="L171" s="115" t="str">
        <f>IF('E-Gilts'!A171&lt;'Adj-Gilts'!$B$10,'E-Gilts'!K171," ")</f>
        <v xml:space="preserve"> </v>
      </c>
      <c r="M171" t="str">
        <f>IF('E-Gilts'!A171&lt;'Adj-Gilts'!$B$10,'E-Gilts'!M171," ")</f>
        <v xml:space="preserve"> </v>
      </c>
      <c r="N171" s="29" t="str">
        <f>IF('E-Gilts'!A171&lt;'Adj-Gilts'!$B$10,1/L171," ")</f>
        <v xml:space="preserve"> </v>
      </c>
      <c r="P171" s="30" t="str">
        <f t="shared" si="9"/>
        <v/>
      </c>
      <c r="Q171" s="30" t="str">
        <f t="shared" si="10"/>
        <v/>
      </c>
      <c r="R171" s="30" t="str">
        <f t="shared" si="11"/>
        <v/>
      </c>
    </row>
    <row r="172" spans="1:18" x14ac:dyDescent="0.25">
      <c r="A172" s="27" t="str">
        <f>IF('E-Gilts'!A172&lt;'Adj-Gilts'!$B$10,'E-Gilts'!B172," ")</f>
        <v xml:space="preserve"> </v>
      </c>
      <c r="B172" s="25" t="str">
        <f>IF('E-Gilts'!A172&lt;'Adj-Gilts'!$B$10,'E-Gilts'!A172," ")</f>
        <v xml:space="preserve"> </v>
      </c>
      <c r="C172" s="25" t="str">
        <f>IF('E-Gilts'!A172&lt;'Adj-Gilts'!$B$10,'E-Gilts'!C172," ")</f>
        <v xml:space="preserve"> </v>
      </c>
      <c r="D172" s="27" t="str">
        <f>IF('E-Gilts'!A172&lt;'Adj-Gilts'!$B$10,'E-Gilts'!G172," ")</f>
        <v xml:space="preserve"> </v>
      </c>
      <c r="E172" s="26" t="str">
        <f>IF('E-Gilts'!A172&lt;'Adj-Gilts'!$B$10,'E-Gilts'!D172," ")</f>
        <v xml:space="preserve"> </v>
      </c>
      <c r="F172" s="26"/>
      <c r="G172" s="216" t="str">
        <f t="shared" si="8"/>
        <v xml:space="preserve"> </v>
      </c>
      <c r="H172" s="27" t="str">
        <f>IF('E-Gilts'!A172&lt;'Adj-Gilts'!$B$10,'E-Gilts'!I172," ")</f>
        <v xml:space="preserve"> </v>
      </c>
      <c r="I172" s="217" t="str">
        <f>IF('E-Gilts'!A172&lt;'Adj-Gilts'!$B$10,'E-Gilts'!A172," ")</f>
        <v xml:space="preserve"> </v>
      </c>
      <c r="J172" s="25" t="str">
        <f>IF('E-Gilts'!A172&lt;'Adj-Gilts'!$B$10,'E-Gilts'!J172," ")</f>
        <v xml:space="preserve"> </v>
      </c>
      <c r="K172" s="27" t="str">
        <f>IF('E-Gilts'!A172&lt;'Adj-Gilts'!$B$10,'E-Gilts'!N172," ")</f>
        <v xml:space="preserve"> </v>
      </c>
      <c r="L172" s="115" t="str">
        <f>IF('E-Gilts'!A172&lt;'Adj-Gilts'!$B$10,'E-Gilts'!K172," ")</f>
        <v xml:space="preserve"> </v>
      </c>
      <c r="M172" t="str">
        <f>IF('E-Gilts'!A172&lt;'Adj-Gilts'!$B$10,'E-Gilts'!M172," ")</f>
        <v xml:space="preserve"> </v>
      </c>
      <c r="N172" s="29" t="str">
        <f>IF('E-Gilts'!A172&lt;'Adj-Gilts'!$B$10,1/L172," ")</f>
        <v xml:space="preserve"> </v>
      </c>
      <c r="P172" s="30" t="str">
        <f t="shared" si="9"/>
        <v/>
      </c>
      <c r="Q172" s="30" t="str">
        <f t="shared" si="10"/>
        <v/>
      </c>
      <c r="R172" s="30" t="str">
        <f t="shared" si="11"/>
        <v/>
      </c>
    </row>
    <row r="173" spans="1:18" x14ac:dyDescent="0.25">
      <c r="A173" s="27" t="str">
        <f>IF('E-Gilts'!A173&lt;'Adj-Gilts'!$B$10,'E-Gilts'!B173," ")</f>
        <v xml:space="preserve"> </v>
      </c>
      <c r="B173" s="25" t="str">
        <f>IF('E-Gilts'!A173&lt;'Adj-Gilts'!$B$10,'E-Gilts'!A173," ")</f>
        <v xml:space="preserve"> </v>
      </c>
      <c r="C173" s="25" t="str">
        <f>IF('E-Gilts'!A173&lt;'Adj-Gilts'!$B$10,'E-Gilts'!C173," ")</f>
        <v xml:space="preserve"> </v>
      </c>
      <c r="D173" s="27" t="str">
        <f>IF('E-Gilts'!A173&lt;'Adj-Gilts'!$B$10,'E-Gilts'!G173," ")</f>
        <v xml:space="preserve"> </v>
      </c>
      <c r="E173" s="26" t="str">
        <f>IF('E-Gilts'!A173&lt;'Adj-Gilts'!$B$10,'E-Gilts'!D173," ")</f>
        <v xml:space="preserve"> </v>
      </c>
      <c r="F173" s="26"/>
      <c r="G173" s="216" t="str">
        <f t="shared" si="8"/>
        <v xml:space="preserve"> </v>
      </c>
      <c r="H173" s="27" t="str">
        <f>IF('E-Gilts'!A173&lt;'Adj-Gilts'!$B$10,'E-Gilts'!I173," ")</f>
        <v xml:space="preserve"> </v>
      </c>
      <c r="I173" s="217" t="str">
        <f>IF('E-Gilts'!A173&lt;'Adj-Gilts'!$B$10,'E-Gilts'!A173," ")</f>
        <v xml:space="preserve"> </v>
      </c>
      <c r="J173" s="25" t="str">
        <f>IF('E-Gilts'!A173&lt;'Adj-Gilts'!$B$10,'E-Gilts'!J173," ")</f>
        <v xml:space="preserve"> </v>
      </c>
      <c r="K173" s="27" t="str">
        <f>IF('E-Gilts'!A173&lt;'Adj-Gilts'!$B$10,'E-Gilts'!N173," ")</f>
        <v xml:space="preserve"> </v>
      </c>
      <c r="L173" s="115" t="str">
        <f>IF('E-Gilts'!A173&lt;'Adj-Gilts'!$B$10,'E-Gilts'!K173," ")</f>
        <v xml:space="preserve"> </v>
      </c>
      <c r="M173" t="str">
        <f>IF('E-Gilts'!A173&lt;'Adj-Gilts'!$B$10,'E-Gilts'!M173," ")</f>
        <v xml:space="preserve"> </v>
      </c>
      <c r="N173" s="29" t="str">
        <f>IF('E-Gilts'!A173&lt;'Adj-Gilts'!$B$10,1/L173," ")</f>
        <v xml:space="preserve"> </v>
      </c>
      <c r="P173" s="30" t="str">
        <f t="shared" si="9"/>
        <v/>
      </c>
      <c r="Q173" s="30" t="str">
        <f t="shared" si="10"/>
        <v/>
      </c>
      <c r="R173" s="30" t="str">
        <f t="shared" si="11"/>
        <v/>
      </c>
    </row>
    <row r="174" spans="1:18" x14ac:dyDescent="0.25">
      <c r="A174" s="27" t="str">
        <f>IF('E-Gilts'!A174&lt;'Adj-Gilts'!$B$10,'E-Gilts'!B174," ")</f>
        <v xml:space="preserve"> </v>
      </c>
      <c r="B174" s="25" t="str">
        <f>IF('E-Gilts'!A174&lt;'Adj-Gilts'!$B$10,'E-Gilts'!A174," ")</f>
        <v xml:space="preserve"> </v>
      </c>
      <c r="C174" s="25" t="str">
        <f>IF('E-Gilts'!A174&lt;'Adj-Gilts'!$B$10,'E-Gilts'!C174," ")</f>
        <v xml:space="preserve"> </v>
      </c>
      <c r="D174" s="27" t="str">
        <f>IF('E-Gilts'!A174&lt;'Adj-Gilts'!$B$10,'E-Gilts'!G174," ")</f>
        <v xml:space="preserve"> </v>
      </c>
      <c r="E174" s="26" t="str">
        <f>IF('E-Gilts'!A174&lt;'Adj-Gilts'!$B$10,'E-Gilts'!D174," ")</f>
        <v xml:space="preserve"> </v>
      </c>
      <c r="F174" s="26"/>
      <c r="G174" s="216" t="str">
        <f t="shared" si="8"/>
        <v xml:space="preserve"> </v>
      </c>
      <c r="H174" s="27" t="str">
        <f>IF('E-Gilts'!A174&lt;'Adj-Gilts'!$B$10,'E-Gilts'!I174," ")</f>
        <v xml:space="preserve"> </v>
      </c>
      <c r="I174" s="217" t="str">
        <f>IF('E-Gilts'!A174&lt;'Adj-Gilts'!$B$10,'E-Gilts'!A174," ")</f>
        <v xml:space="preserve"> </v>
      </c>
      <c r="J174" s="25" t="str">
        <f>IF('E-Gilts'!A174&lt;'Adj-Gilts'!$B$10,'E-Gilts'!J174," ")</f>
        <v xml:space="preserve"> </v>
      </c>
      <c r="K174" s="27" t="str">
        <f>IF('E-Gilts'!A174&lt;'Adj-Gilts'!$B$10,'E-Gilts'!N174," ")</f>
        <v xml:space="preserve"> </v>
      </c>
      <c r="L174" s="115" t="str">
        <f>IF('E-Gilts'!A174&lt;'Adj-Gilts'!$B$10,'E-Gilts'!K174," ")</f>
        <v xml:space="preserve"> </v>
      </c>
      <c r="M174" t="str">
        <f>IF('E-Gilts'!A174&lt;'Adj-Gilts'!$B$10,'E-Gilts'!M174," ")</f>
        <v xml:space="preserve"> </v>
      </c>
      <c r="N174" s="29" t="str">
        <f>IF('E-Gilts'!A174&lt;'Adj-Gilts'!$B$10,1/L174," ")</f>
        <v xml:space="preserve"> </v>
      </c>
      <c r="P174" s="30" t="str">
        <f t="shared" si="9"/>
        <v/>
      </c>
      <c r="Q174" s="30" t="str">
        <f t="shared" si="10"/>
        <v/>
      </c>
      <c r="R174" s="30" t="str">
        <f t="shared" si="11"/>
        <v/>
      </c>
    </row>
    <row r="175" spans="1:18" x14ac:dyDescent="0.25">
      <c r="A175" s="27" t="str">
        <f>IF('E-Gilts'!A175&lt;'Adj-Gilts'!$B$10,'E-Gilts'!B175," ")</f>
        <v xml:space="preserve"> </v>
      </c>
      <c r="B175" s="25" t="str">
        <f>IF('E-Gilts'!A175&lt;'Adj-Gilts'!$B$10,'E-Gilts'!A175," ")</f>
        <v xml:space="preserve"> </v>
      </c>
      <c r="C175" s="25" t="str">
        <f>IF('E-Gilts'!A175&lt;'Adj-Gilts'!$B$10,'E-Gilts'!C175," ")</f>
        <v xml:space="preserve"> </v>
      </c>
      <c r="D175" s="27" t="str">
        <f>IF('E-Gilts'!A175&lt;'Adj-Gilts'!$B$10,'E-Gilts'!G175," ")</f>
        <v xml:space="preserve"> </v>
      </c>
      <c r="E175" s="26" t="str">
        <f>IF('E-Gilts'!A175&lt;'Adj-Gilts'!$B$10,'E-Gilts'!D175," ")</f>
        <v xml:space="preserve"> </v>
      </c>
      <c r="F175" s="26"/>
      <c r="G175" s="216" t="str">
        <f t="shared" si="8"/>
        <v xml:space="preserve"> </v>
      </c>
      <c r="H175" s="27" t="str">
        <f>IF('E-Gilts'!A175&lt;'Adj-Gilts'!$B$10,'E-Gilts'!I175," ")</f>
        <v xml:space="preserve"> </v>
      </c>
      <c r="I175" s="217" t="str">
        <f>IF('E-Gilts'!A175&lt;'Adj-Gilts'!$B$10,'E-Gilts'!A175," ")</f>
        <v xml:space="preserve"> </v>
      </c>
      <c r="J175" s="25" t="str">
        <f>IF('E-Gilts'!A175&lt;'Adj-Gilts'!$B$10,'E-Gilts'!J175," ")</f>
        <v xml:space="preserve"> </v>
      </c>
      <c r="K175" s="27" t="str">
        <f>IF('E-Gilts'!A175&lt;'Adj-Gilts'!$B$10,'E-Gilts'!N175," ")</f>
        <v xml:space="preserve"> </v>
      </c>
      <c r="L175" s="115" t="str">
        <f>IF('E-Gilts'!A175&lt;'Adj-Gilts'!$B$10,'E-Gilts'!K175," ")</f>
        <v xml:space="preserve"> </v>
      </c>
      <c r="M175" t="str">
        <f>IF('E-Gilts'!A175&lt;'Adj-Gilts'!$B$10,'E-Gilts'!M175," ")</f>
        <v xml:space="preserve"> </v>
      </c>
      <c r="N175" s="29" t="str">
        <f>IF('E-Gilts'!A175&lt;'Adj-Gilts'!$B$10,1/L175," ")</f>
        <v xml:space="preserve"> </v>
      </c>
      <c r="P175" s="30" t="str">
        <f t="shared" si="9"/>
        <v/>
      </c>
      <c r="Q175" s="30" t="str">
        <f t="shared" si="10"/>
        <v/>
      </c>
      <c r="R175" s="30" t="str">
        <f t="shared" si="11"/>
        <v/>
      </c>
    </row>
    <row r="176" spans="1:18" x14ac:dyDescent="0.25">
      <c r="A176" s="27" t="str">
        <f>IF('E-Gilts'!A176&lt;'Adj-Gilts'!$B$10,'E-Gilts'!B176," ")</f>
        <v xml:space="preserve"> </v>
      </c>
      <c r="B176" s="25" t="str">
        <f>IF('E-Gilts'!A176&lt;'Adj-Gilts'!$B$10,'E-Gilts'!A176," ")</f>
        <v xml:space="preserve"> </v>
      </c>
      <c r="C176" s="25" t="str">
        <f>IF('E-Gilts'!A176&lt;'Adj-Gilts'!$B$10,'E-Gilts'!C176," ")</f>
        <v xml:space="preserve"> </v>
      </c>
      <c r="D176" s="27" t="str">
        <f>IF('E-Gilts'!A176&lt;'Adj-Gilts'!$B$10,'E-Gilts'!G176," ")</f>
        <v xml:space="preserve"> </v>
      </c>
      <c r="E176" s="26" t="str">
        <f>IF('E-Gilts'!A176&lt;'Adj-Gilts'!$B$10,'E-Gilts'!D176," ")</f>
        <v xml:space="preserve"> </v>
      </c>
      <c r="F176" s="26"/>
      <c r="G176" s="216" t="str">
        <f t="shared" si="8"/>
        <v xml:space="preserve"> </v>
      </c>
      <c r="H176" s="27" t="str">
        <f>IF('E-Gilts'!A176&lt;'Adj-Gilts'!$B$10,'E-Gilts'!I176," ")</f>
        <v xml:space="preserve"> </v>
      </c>
      <c r="I176" s="217" t="str">
        <f>IF('E-Gilts'!A176&lt;'Adj-Gilts'!$B$10,'E-Gilts'!A176," ")</f>
        <v xml:space="preserve"> </v>
      </c>
      <c r="J176" s="25" t="str">
        <f>IF('E-Gilts'!A176&lt;'Adj-Gilts'!$B$10,'E-Gilts'!J176," ")</f>
        <v xml:space="preserve"> </v>
      </c>
      <c r="K176" s="27" t="str">
        <f>IF('E-Gilts'!A176&lt;'Adj-Gilts'!$B$10,'E-Gilts'!N176," ")</f>
        <v xml:space="preserve"> </v>
      </c>
      <c r="L176" s="115" t="str">
        <f>IF('E-Gilts'!A176&lt;'Adj-Gilts'!$B$10,'E-Gilts'!K176," ")</f>
        <v xml:space="preserve"> </v>
      </c>
      <c r="M176" t="str">
        <f>IF('E-Gilts'!A176&lt;'Adj-Gilts'!$B$10,'E-Gilts'!M176," ")</f>
        <v xml:space="preserve"> </v>
      </c>
      <c r="N176" s="29" t="str">
        <f>IF('E-Gilts'!A176&lt;'Adj-Gilts'!$B$10,1/L176," ")</f>
        <v xml:space="preserve"> </v>
      </c>
      <c r="P176" s="30" t="str">
        <f t="shared" si="9"/>
        <v/>
      </c>
      <c r="Q176" s="30" t="str">
        <f t="shared" si="10"/>
        <v/>
      </c>
      <c r="R176" s="30" t="str">
        <f t="shared" si="11"/>
        <v/>
      </c>
    </row>
    <row r="177" spans="1:18" x14ac:dyDescent="0.25">
      <c r="A177" s="27" t="str">
        <f>IF('E-Gilts'!A177&lt;'Adj-Gilts'!$B$10,'E-Gilts'!B177," ")</f>
        <v xml:space="preserve"> </v>
      </c>
      <c r="B177" s="25" t="str">
        <f>IF('E-Gilts'!A177&lt;'Adj-Gilts'!$B$10,'E-Gilts'!A177," ")</f>
        <v xml:space="preserve"> </v>
      </c>
      <c r="C177" s="25" t="str">
        <f>IF('E-Gilts'!A177&lt;'Adj-Gilts'!$B$10,'E-Gilts'!C177," ")</f>
        <v xml:space="preserve"> </v>
      </c>
      <c r="D177" s="27" t="str">
        <f>IF('E-Gilts'!A177&lt;'Adj-Gilts'!$B$10,'E-Gilts'!G177," ")</f>
        <v xml:space="preserve"> </v>
      </c>
      <c r="E177" s="26" t="str">
        <f>IF('E-Gilts'!A177&lt;'Adj-Gilts'!$B$10,'E-Gilts'!D177," ")</f>
        <v xml:space="preserve"> </v>
      </c>
      <c r="F177" s="26"/>
      <c r="G177" s="216" t="str">
        <f t="shared" si="8"/>
        <v xml:space="preserve"> </v>
      </c>
      <c r="H177" s="27" t="str">
        <f>IF('E-Gilts'!A177&lt;'Adj-Gilts'!$B$10,'E-Gilts'!I177," ")</f>
        <v xml:space="preserve"> </v>
      </c>
      <c r="I177" s="217" t="str">
        <f>IF('E-Gilts'!A177&lt;'Adj-Gilts'!$B$10,'E-Gilts'!A177," ")</f>
        <v xml:space="preserve"> </v>
      </c>
      <c r="J177" s="25" t="str">
        <f>IF('E-Gilts'!A177&lt;'Adj-Gilts'!$B$10,'E-Gilts'!J177," ")</f>
        <v xml:space="preserve"> </v>
      </c>
      <c r="K177" s="27" t="str">
        <f>IF('E-Gilts'!A177&lt;'Adj-Gilts'!$B$10,'E-Gilts'!N177," ")</f>
        <v xml:space="preserve"> </v>
      </c>
      <c r="L177" s="115" t="str">
        <f>IF('E-Gilts'!A177&lt;'Adj-Gilts'!$B$10,'E-Gilts'!K177," ")</f>
        <v xml:space="preserve"> </v>
      </c>
      <c r="M177" t="str">
        <f>IF('E-Gilts'!A177&lt;'Adj-Gilts'!$B$10,'E-Gilts'!M177," ")</f>
        <v xml:space="preserve"> </v>
      </c>
      <c r="N177" s="29" t="str">
        <f>IF('E-Gilts'!A177&lt;'Adj-Gilts'!$B$10,1/L177," ")</f>
        <v xml:space="preserve"> </v>
      </c>
      <c r="P177" s="30" t="str">
        <f t="shared" si="9"/>
        <v/>
      </c>
      <c r="Q177" s="30" t="str">
        <f t="shared" si="10"/>
        <v/>
      </c>
      <c r="R177" s="30" t="str">
        <f t="shared" si="11"/>
        <v/>
      </c>
    </row>
    <row r="178" spans="1:18" x14ac:dyDescent="0.25">
      <c r="A178" s="27" t="str">
        <f>IF('E-Gilts'!A178&lt;'Adj-Gilts'!$B$10,'E-Gilts'!B178," ")</f>
        <v xml:space="preserve"> </v>
      </c>
      <c r="B178" s="25" t="str">
        <f>IF('E-Gilts'!A178&lt;'Adj-Gilts'!$B$10,'E-Gilts'!A178," ")</f>
        <v xml:space="preserve"> </v>
      </c>
      <c r="C178" s="25" t="str">
        <f>IF('E-Gilts'!A178&lt;'Adj-Gilts'!$B$10,'E-Gilts'!C178," ")</f>
        <v xml:space="preserve"> </v>
      </c>
      <c r="D178" s="27" t="str">
        <f>IF('E-Gilts'!A178&lt;'Adj-Gilts'!$B$10,'E-Gilts'!G178," ")</f>
        <v xml:space="preserve"> </v>
      </c>
      <c r="E178" s="26" t="str">
        <f>IF('E-Gilts'!A178&lt;'Adj-Gilts'!$B$10,'E-Gilts'!D178," ")</f>
        <v xml:space="preserve"> </v>
      </c>
      <c r="F178" s="26"/>
      <c r="G178" s="216" t="str">
        <f t="shared" si="8"/>
        <v xml:space="preserve"> </v>
      </c>
      <c r="H178" s="27" t="str">
        <f>IF('E-Gilts'!A178&lt;'Adj-Gilts'!$B$10,'E-Gilts'!I178," ")</f>
        <v xml:space="preserve"> </v>
      </c>
      <c r="I178" s="217" t="str">
        <f>IF('E-Gilts'!A178&lt;'Adj-Gilts'!$B$10,'E-Gilts'!A178," ")</f>
        <v xml:space="preserve"> </v>
      </c>
      <c r="J178" s="25" t="str">
        <f>IF('E-Gilts'!A178&lt;'Adj-Gilts'!$B$10,'E-Gilts'!J178," ")</f>
        <v xml:space="preserve"> </v>
      </c>
      <c r="K178" s="27" t="str">
        <f>IF('E-Gilts'!A178&lt;'Adj-Gilts'!$B$10,'E-Gilts'!N178," ")</f>
        <v xml:space="preserve"> </v>
      </c>
      <c r="L178" s="115" t="str">
        <f>IF('E-Gilts'!A178&lt;'Adj-Gilts'!$B$10,'E-Gilts'!K178," ")</f>
        <v xml:space="preserve"> </v>
      </c>
      <c r="M178" t="str">
        <f>IF('E-Gilts'!A178&lt;'Adj-Gilts'!$B$10,'E-Gilts'!M178," ")</f>
        <v xml:space="preserve"> </v>
      </c>
      <c r="N178" s="29" t="str">
        <f>IF('E-Gilts'!A178&lt;'Adj-Gilts'!$B$10,1/L178," ")</f>
        <v xml:space="preserve"> </v>
      </c>
      <c r="P178" s="30" t="str">
        <f t="shared" si="9"/>
        <v/>
      </c>
      <c r="Q178" s="30" t="str">
        <f t="shared" si="10"/>
        <v/>
      </c>
      <c r="R178" s="30" t="str">
        <f t="shared" si="11"/>
        <v/>
      </c>
    </row>
    <row r="179" spans="1:18" x14ac:dyDescent="0.25">
      <c r="A179" s="27" t="str">
        <f>IF('E-Gilts'!A179&lt;'Adj-Gilts'!$B$10,'E-Gilts'!B179," ")</f>
        <v xml:space="preserve"> </v>
      </c>
      <c r="B179" s="25" t="str">
        <f>IF('E-Gilts'!A179&lt;'Adj-Gilts'!$B$10,'E-Gilts'!A179," ")</f>
        <v xml:space="preserve"> </v>
      </c>
      <c r="C179" s="25" t="str">
        <f>IF('E-Gilts'!A179&lt;'Adj-Gilts'!$B$10,'E-Gilts'!C179," ")</f>
        <v xml:space="preserve"> </v>
      </c>
      <c r="D179" s="27" t="str">
        <f>IF('E-Gilts'!A179&lt;'Adj-Gilts'!$B$10,'E-Gilts'!G179," ")</f>
        <v xml:space="preserve"> </v>
      </c>
      <c r="E179" s="26" t="str">
        <f>IF('E-Gilts'!A179&lt;'Adj-Gilts'!$B$10,'E-Gilts'!D179," ")</f>
        <v xml:space="preserve"> </v>
      </c>
      <c r="F179" s="26"/>
      <c r="G179" s="216" t="str">
        <f t="shared" si="8"/>
        <v xml:space="preserve"> </v>
      </c>
      <c r="H179" s="27" t="str">
        <f>IF('E-Gilts'!A179&lt;'Adj-Gilts'!$B$10,'E-Gilts'!I179," ")</f>
        <v xml:space="preserve"> </v>
      </c>
      <c r="I179" s="217" t="str">
        <f>IF('E-Gilts'!A179&lt;'Adj-Gilts'!$B$10,'E-Gilts'!A179," ")</f>
        <v xml:space="preserve"> </v>
      </c>
      <c r="J179" s="25" t="str">
        <f>IF('E-Gilts'!A179&lt;'Adj-Gilts'!$B$10,'E-Gilts'!J179," ")</f>
        <v xml:space="preserve"> </v>
      </c>
      <c r="K179" s="27" t="str">
        <f>IF('E-Gilts'!A179&lt;'Adj-Gilts'!$B$10,'E-Gilts'!N179," ")</f>
        <v xml:space="preserve"> </v>
      </c>
      <c r="L179" s="115" t="str">
        <f>IF('E-Gilts'!A179&lt;'Adj-Gilts'!$B$10,'E-Gilts'!K179," ")</f>
        <v xml:space="preserve"> </v>
      </c>
      <c r="M179" t="str">
        <f>IF('E-Gilts'!A179&lt;'Adj-Gilts'!$B$10,'E-Gilts'!M179," ")</f>
        <v xml:space="preserve"> </v>
      </c>
      <c r="N179" s="29" t="str">
        <f>IF('E-Gilts'!A179&lt;'Adj-Gilts'!$B$10,1/L179," ")</f>
        <v xml:space="preserve"> </v>
      </c>
      <c r="P179" s="30" t="str">
        <f t="shared" si="9"/>
        <v/>
      </c>
      <c r="Q179" s="30" t="str">
        <f t="shared" si="10"/>
        <v/>
      </c>
      <c r="R179" s="30" t="str">
        <f t="shared" si="11"/>
        <v/>
      </c>
    </row>
    <row r="180" spans="1:18" x14ac:dyDescent="0.25">
      <c r="A180" s="27" t="str">
        <f>IF('E-Gilts'!A180&lt;'Adj-Gilts'!$B$10,'E-Gilts'!B180," ")</f>
        <v xml:space="preserve"> </v>
      </c>
      <c r="B180" s="25" t="str">
        <f>IF('E-Gilts'!A180&lt;'Adj-Gilts'!$B$10,'E-Gilts'!A180," ")</f>
        <v xml:space="preserve"> </v>
      </c>
      <c r="C180" s="25" t="str">
        <f>IF('E-Gilts'!A180&lt;'Adj-Gilts'!$B$10,'E-Gilts'!C180," ")</f>
        <v xml:space="preserve"> </v>
      </c>
      <c r="D180" s="27" t="str">
        <f>IF('E-Gilts'!A180&lt;'Adj-Gilts'!$B$10,'E-Gilts'!G180," ")</f>
        <v xml:space="preserve"> </v>
      </c>
      <c r="E180" s="26" t="str">
        <f>IF('E-Gilts'!A180&lt;'Adj-Gilts'!$B$10,'E-Gilts'!D180," ")</f>
        <v xml:space="preserve"> </v>
      </c>
      <c r="F180" s="26"/>
      <c r="G180" s="216" t="str">
        <f t="shared" si="8"/>
        <v xml:space="preserve"> </v>
      </c>
      <c r="H180" s="27" t="str">
        <f>IF('E-Gilts'!A180&lt;'Adj-Gilts'!$B$10,'E-Gilts'!I180," ")</f>
        <v xml:space="preserve"> </v>
      </c>
      <c r="I180" s="217" t="str">
        <f>IF('E-Gilts'!A180&lt;'Adj-Gilts'!$B$10,'E-Gilts'!A180," ")</f>
        <v xml:space="preserve"> </v>
      </c>
      <c r="J180" s="25" t="str">
        <f>IF('E-Gilts'!A180&lt;'Adj-Gilts'!$B$10,'E-Gilts'!J180," ")</f>
        <v xml:space="preserve"> </v>
      </c>
      <c r="K180" s="27" t="str">
        <f>IF('E-Gilts'!A180&lt;'Adj-Gilts'!$B$10,'E-Gilts'!N180," ")</f>
        <v xml:space="preserve"> </v>
      </c>
      <c r="L180" s="115" t="str">
        <f>IF('E-Gilts'!A180&lt;'Adj-Gilts'!$B$10,'E-Gilts'!K180," ")</f>
        <v xml:space="preserve"> </v>
      </c>
      <c r="M180" t="str">
        <f>IF('E-Gilts'!A180&lt;'Adj-Gilts'!$B$10,'E-Gilts'!M180," ")</f>
        <v xml:space="preserve"> </v>
      </c>
      <c r="N180" s="29" t="str">
        <f>IF('E-Gilts'!A180&lt;'Adj-Gilts'!$B$10,1/L180," ")</f>
        <v xml:space="preserve"> </v>
      </c>
      <c r="P180" s="30" t="str">
        <f t="shared" si="9"/>
        <v/>
      </c>
      <c r="Q180" s="30" t="str">
        <f t="shared" si="10"/>
        <v/>
      </c>
      <c r="R180" s="30" t="str">
        <f t="shared" si="11"/>
        <v/>
      </c>
    </row>
    <row r="181" spans="1:18" x14ac:dyDescent="0.25">
      <c r="A181" s="27" t="str">
        <f>IF('E-Gilts'!A181&lt;'Adj-Gilts'!$B$10,'E-Gilts'!B181," ")</f>
        <v xml:space="preserve"> </v>
      </c>
      <c r="B181" s="25" t="str">
        <f>IF('E-Gilts'!A181&lt;'Adj-Gilts'!$B$10,'E-Gilts'!A181," ")</f>
        <v xml:space="preserve"> </v>
      </c>
      <c r="C181" s="25" t="str">
        <f>IF('E-Gilts'!A181&lt;'Adj-Gilts'!$B$10,'E-Gilts'!C181," ")</f>
        <v xml:space="preserve"> </v>
      </c>
      <c r="D181" s="27" t="str">
        <f>IF('E-Gilts'!A181&lt;'Adj-Gilts'!$B$10,'E-Gilts'!G181," ")</f>
        <v xml:space="preserve"> </v>
      </c>
      <c r="E181" s="26" t="str">
        <f>IF('E-Gilts'!A181&lt;'Adj-Gilts'!$B$10,'E-Gilts'!D181," ")</f>
        <v xml:space="preserve"> </v>
      </c>
      <c r="F181" s="26"/>
      <c r="G181" s="216" t="str">
        <f t="shared" si="8"/>
        <v xml:space="preserve"> </v>
      </c>
      <c r="H181" s="27" t="str">
        <f>IF('E-Gilts'!A181&lt;'Adj-Gilts'!$B$10,'E-Gilts'!I181," ")</f>
        <v xml:space="preserve"> </v>
      </c>
      <c r="I181" s="217" t="str">
        <f>IF('E-Gilts'!A181&lt;'Adj-Gilts'!$B$10,'E-Gilts'!A181," ")</f>
        <v xml:space="preserve"> </v>
      </c>
      <c r="J181" s="25" t="str">
        <f>IF('E-Gilts'!A181&lt;'Adj-Gilts'!$B$10,'E-Gilts'!J181," ")</f>
        <v xml:space="preserve"> </v>
      </c>
      <c r="K181" s="27" t="str">
        <f>IF('E-Gilts'!A181&lt;'Adj-Gilts'!$B$10,'E-Gilts'!N181," ")</f>
        <v xml:space="preserve"> </v>
      </c>
      <c r="L181" s="115" t="str">
        <f>IF('E-Gilts'!A181&lt;'Adj-Gilts'!$B$10,'E-Gilts'!K181," ")</f>
        <v xml:space="preserve"> </v>
      </c>
      <c r="M181" t="str">
        <f>IF('E-Gilts'!A181&lt;'Adj-Gilts'!$B$10,'E-Gilts'!M181," ")</f>
        <v xml:space="preserve"> </v>
      </c>
      <c r="N181" s="29" t="str">
        <f>IF('E-Gilts'!A181&lt;'Adj-Gilts'!$B$10,1/L181," ")</f>
        <v xml:space="preserve"> </v>
      </c>
      <c r="P181" s="30" t="str">
        <f t="shared" si="9"/>
        <v/>
      </c>
      <c r="Q181" s="30" t="str">
        <f t="shared" si="10"/>
        <v/>
      </c>
      <c r="R181" s="30" t="str">
        <f t="shared" si="11"/>
        <v/>
      </c>
    </row>
    <row r="182" spans="1:18" x14ac:dyDescent="0.25">
      <c r="A182" s="27" t="str">
        <f>IF('E-Gilts'!A182&lt;'Adj-Gilts'!$B$10,'E-Gilts'!B182," ")</f>
        <v xml:space="preserve"> </v>
      </c>
      <c r="B182" s="25" t="str">
        <f>IF('E-Gilts'!A182&lt;'Adj-Gilts'!$B$10,'E-Gilts'!A182," ")</f>
        <v xml:space="preserve"> </v>
      </c>
      <c r="C182" s="25" t="str">
        <f>IF('E-Gilts'!A182&lt;'Adj-Gilts'!$B$10,'E-Gilts'!C182," ")</f>
        <v xml:space="preserve"> </v>
      </c>
      <c r="D182" s="27" t="str">
        <f>IF('E-Gilts'!A182&lt;'Adj-Gilts'!$B$10,'E-Gilts'!G182," ")</f>
        <v xml:space="preserve"> </v>
      </c>
      <c r="E182" s="26" t="str">
        <f>IF('E-Gilts'!A182&lt;'Adj-Gilts'!$B$10,'E-Gilts'!D182," ")</f>
        <v xml:space="preserve"> </v>
      </c>
      <c r="F182" s="26"/>
      <c r="G182" s="216" t="str">
        <f t="shared" si="8"/>
        <v xml:space="preserve"> </v>
      </c>
      <c r="H182" s="27" t="str">
        <f>IF('E-Gilts'!A182&lt;'Adj-Gilts'!$B$10,'E-Gilts'!I182," ")</f>
        <v xml:space="preserve"> </v>
      </c>
      <c r="I182" s="217" t="str">
        <f>IF('E-Gilts'!A182&lt;'Adj-Gilts'!$B$10,'E-Gilts'!A182," ")</f>
        <v xml:space="preserve"> </v>
      </c>
      <c r="J182" s="25" t="str">
        <f>IF('E-Gilts'!A182&lt;'Adj-Gilts'!$B$10,'E-Gilts'!J182," ")</f>
        <v xml:space="preserve"> </v>
      </c>
      <c r="K182" s="27" t="str">
        <f>IF('E-Gilts'!A182&lt;'Adj-Gilts'!$B$10,'E-Gilts'!N182," ")</f>
        <v xml:space="preserve"> </v>
      </c>
      <c r="L182" s="115" t="str">
        <f>IF('E-Gilts'!A182&lt;'Adj-Gilts'!$B$10,'E-Gilts'!K182," ")</f>
        <v xml:space="preserve"> </v>
      </c>
      <c r="M182" t="str">
        <f>IF('E-Gilts'!A182&lt;'Adj-Gilts'!$B$10,'E-Gilts'!M182," ")</f>
        <v xml:space="preserve"> </v>
      </c>
      <c r="N182" s="29" t="str">
        <f>IF('E-Gilts'!A182&lt;'Adj-Gilts'!$B$10,1/L182," ")</f>
        <v xml:space="preserve"> </v>
      </c>
      <c r="P182" s="30" t="str">
        <f t="shared" si="9"/>
        <v/>
      </c>
      <c r="Q182" s="30" t="str">
        <f t="shared" si="10"/>
        <v/>
      </c>
      <c r="R182" s="30" t="str">
        <f t="shared" si="11"/>
        <v/>
      </c>
    </row>
    <row r="183" spans="1:18" x14ac:dyDescent="0.25">
      <c r="A183" s="27" t="str">
        <f>IF('E-Gilts'!A183&lt;'Adj-Gilts'!$B$10,'E-Gilts'!B183," ")</f>
        <v xml:space="preserve"> </v>
      </c>
      <c r="B183" s="25" t="str">
        <f>IF('E-Gilts'!A183&lt;'Adj-Gilts'!$B$10,'E-Gilts'!A183," ")</f>
        <v xml:space="preserve"> </v>
      </c>
      <c r="C183" s="25" t="str">
        <f>IF('E-Gilts'!A183&lt;'Adj-Gilts'!$B$10,'E-Gilts'!C183," ")</f>
        <v xml:space="preserve"> </v>
      </c>
      <c r="D183" s="27" t="str">
        <f>IF('E-Gilts'!A183&lt;'Adj-Gilts'!$B$10,'E-Gilts'!G183," ")</f>
        <v xml:space="preserve"> </v>
      </c>
      <c r="E183" s="26" t="str">
        <f>IF('E-Gilts'!A183&lt;'Adj-Gilts'!$B$10,'E-Gilts'!D183," ")</f>
        <v xml:space="preserve"> </v>
      </c>
      <c r="F183" s="26"/>
      <c r="G183" s="216" t="str">
        <f t="shared" si="8"/>
        <v xml:space="preserve"> </v>
      </c>
      <c r="H183" s="27" t="str">
        <f>IF('E-Gilts'!A183&lt;'Adj-Gilts'!$B$10,'E-Gilts'!I183," ")</f>
        <v xml:space="preserve"> </v>
      </c>
      <c r="I183" s="217" t="str">
        <f>IF('E-Gilts'!A183&lt;'Adj-Gilts'!$B$10,'E-Gilts'!A183," ")</f>
        <v xml:space="preserve"> </v>
      </c>
      <c r="J183" s="25" t="str">
        <f>IF('E-Gilts'!A183&lt;'Adj-Gilts'!$B$10,'E-Gilts'!J183," ")</f>
        <v xml:space="preserve"> </v>
      </c>
      <c r="K183" s="27" t="str">
        <f>IF('E-Gilts'!A183&lt;'Adj-Gilts'!$B$10,'E-Gilts'!N183," ")</f>
        <v xml:space="preserve"> </v>
      </c>
      <c r="L183" s="115" t="str">
        <f>IF('E-Gilts'!A183&lt;'Adj-Gilts'!$B$10,'E-Gilts'!K183," ")</f>
        <v xml:space="preserve"> </v>
      </c>
      <c r="M183" t="str">
        <f>IF('E-Gilts'!A183&lt;'Adj-Gilts'!$B$10,'E-Gilts'!M183," ")</f>
        <v xml:space="preserve"> </v>
      </c>
      <c r="N183" s="29" t="str">
        <f>IF('E-Gilts'!A183&lt;'Adj-Gilts'!$B$10,1/L183," ")</f>
        <v xml:space="preserve"> </v>
      </c>
      <c r="P183" s="30" t="str">
        <f t="shared" si="9"/>
        <v/>
      </c>
      <c r="Q183" s="30" t="str">
        <f t="shared" si="10"/>
        <v/>
      </c>
      <c r="R183" s="30" t="str">
        <f t="shared" si="11"/>
        <v/>
      </c>
    </row>
    <row r="184" spans="1:18" x14ac:dyDescent="0.25">
      <c r="A184" s="27" t="str">
        <f>IF('E-Gilts'!A184&lt;'Adj-Gilts'!$B$10,'E-Gilts'!B184," ")</f>
        <v xml:space="preserve"> </v>
      </c>
      <c r="B184" s="25" t="str">
        <f>IF('E-Gilts'!A184&lt;'Adj-Gilts'!$B$10,'E-Gilts'!A184," ")</f>
        <v xml:space="preserve"> </v>
      </c>
      <c r="C184" s="25" t="str">
        <f>IF('E-Gilts'!A184&lt;'Adj-Gilts'!$B$10,'E-Gilts'!C184," ")</f>
        <v xml:space="preserve"> </v>
      </c>
      <c r="D184" s="27" t="str">
        <f>IF('E-Gilts'!A184&lt;'Adj-Gilts'!$B$10,'E-Gilts'!G184," ")</f>
        <v xml:space="preserve"> </v>
      </c>
      <c r="E184" s="26" t="str">
        <f>IF('E-Gilts'!A184&lt;'Adj-Gilts'!$B$10,'E-Gilts'!D184," ")</f>
        <v xml:space="preserve"> </v>
      </c>
      <c r="F184" s="26"/>
      <c r="G184" s="216" t="str">
        <f t="shared" si="8"/>
        <v xml:space="preserve"> </v>
      </c>
      <c r="H184" s="27" t="str">
        <f>IF('E-Gilts'!A184&lt;'Adj-Gilts'!$B$10,'E-Gilts'!I184," ")</f>
        <v xml:space="preserve"> </v>
      </c>
      <c r="I184" s="217" t="str">
        <f>IF('E-Gilts'!A184&lt;'Adj-Gilts'!$B$10,'E-Gilts'!A184," ")</f>
        <v xml:space="preserve"> </v>
      </c>
      <c r="J184" s="25" t="str">
        <f>IF('E-Gilts'!A184&lt;'Adj-Gilts'!$B$10,'E-Gilts'!J184," ")</f>
        <v xml:space="preserve"> </v>
      </c>
      <c r="K184" s="27" t="str">
        <f>IF('E-Gilts'!A184&lt;'Adj-Gilts'!$B$10,'E-Gilts'!N184," ")</f>
        <v xml:space="preserve"> </v>
      </c>
      <c r="L184" s="115" t="str">
        <f>IF('E-Gilts'!A184&lt;'Adj-Gilts'!$B$10,'E-Gilts'!K184," ")</f>
        <v xml:space="preserve"> </v>
      </c>
      <c r="M184" t="str">
        <f>IF('E-Gilts'!A184&lt;'Adj-Gilts'!$B$10,'E-Gilts'!M184," ")</f>
        <v xml:space="preserve"> </v>
      </c>
      <c r="N184" s="29" t="str">
        <f>IF('E-Gilts'!A184&lt;'Adj-Gilts'!$B$10,1/L184," ")</f>
        <v xml:space="preserve"> </v>
      </c>
      <c r="P184" s="30" t="str">
        <f t="shared" si="9"/>
        <v/>
      </c>
      <c r="Q184" s="30" t="str">
        <f t="shared" si="10"/>
        <v/>
      </c>
      <c r="R184" s="30" t="str">
        <f t="shared" si="11"/>
        <v/>
      </c>
    </row>
    <row r="185" spans="1:18" x14ac:dyDescent="0.25">
      <c r="A185" s="27" t="str">
        <f>IF('E-Gilts'!A185&lt;'Adj-Gilts'!$B$10,'E-Gilts'!B185," ")</f>
        <v xml:space="preserve"> </v>
      </c>
      <c r="B185" s="25" t="str">
        <f>IF('E-Gilts'!A185&lt;'Adj-Gilts'!$B$10,'E-Gilts'!A185," ")</f>
        <v xml:space="preserve"> </v>
      </c>
      <c r="C185" s="25" t="str">
        <f>IF('E-Gilts'!A185&lt;'Adj-Gilts'!$B$10,'E-Gilts'!C185," ")</f>
        <v xml:space="preserve"> </v>
      </c>
      <c r="D185" s="27" t="str">
        <f>IF('E-Gilts'!A185&lt;'Adj-Gilts'!$B$10,'E-Gilts'!G185," ")</f>
        <v xml:space="preserve"> </v>
      </c>
      <c r="E185" s="26" t="str">
        <f>IF('E-Gilts'!A185&lt;'Adj-Gilts'!$B$10,'E-Gilts'!D185," ")</f>
        <v xml:space="preserve"> </v>
      </c>
      <c r="F185" s="26"/>
      <c r="G185" s="216" t="str">
        <f t="shared" si="8"/>
        <v xml:space="preserve"> </v>
      </c>
      <c r="H185" s="27" t="str">
        <f>IF('E-Gilts'!A185&lt;'Adj-Gilts'!$B$10,'E-Gilts'!I185," ")</f>
        <v xml:space="preserve"> </v>
      </c>
      <c r="I185" s="217" t="str">
        <f>IF('E-Gilts'!A185&lt;'Adj-Gilts'!$B$10,'E-Gilts'!A185," ")</f>
        <v xml:space="preserve"> </v>
      </c>
      <c r="J185" s="25" t="str">
        <f>IF('E-Gilts'!A185&lt;'Adj-Gilts'!$B$10,'E-Gilts'!J185," ")</f>
        <v xml:space="preserve"> </v>
      </c>
      <c r="K185" s="27" t="str">
        <f>IF('E-Gilts'!A185&lt;'Adj-Gilts'!$B$10,'E-Gilts'!N185," ")</f>
        <v xml:space="preserve"> </v>
      </c>
      <c r="L185" s="115" t="str">
        <f>IF('E-Gilts'!A185&lt;'Adj-Gilts'!$B$10,'E-Gilts'!K185," ")</f>
        <v xml:space="preserve"> </v>
      </c>
      <c r="M185" t="str">
        <f>IF('E-Gilts'!A185&lt;'Adj-Gilts'!$B$10,'E-Gilts'!M185," ")</f>
        <v xml:space="preserve"> </v>
      </c>
      <c r="N185" s="29" t="str">
        <f>IF('E-Gilts'!A185&lt;'Adj-Gilts'!$B$10,1/L185," ")</f>
        <v xml:space="preserve"> </v>
      </c>
      <c r="P185" s="30" t="str">
        <f t="shared" si="9"/>
        <v/>
      </c>
      <c r="Q185" s="30" t="str">
        <f t="shared" si="10"/>
        <v/>
      </c>
      <c r="R185" s="30" t="str">
        <f t="shared" si="11"/>
        <v/>
      </c>
    </row>
  </sheetData>
  <mergeCells count="2">
    <mergeCell ref="A1:E1"/>
    <mergeCell ref="H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58EDF-B747-408E-9021-B40F49A23884}">
  <sheetPr codeName="Sheet16"/>
  <dimension ref="A1:R185"/>
  <sheetViews>
    <sheetView zoomScale="90" zoomScaleNormal="90" workbookViewId="0">
      <selection activeCell="G5" sqref="G5"/>
    </sheetView>
  </sheetViews>
  <sheetFormatPr defaultColWidth="8.85546875" defaultRowHeight="15" x14ac:dyDescent="0.25"/>
  <cols>
    <col min="1" max="1" width="20.7109375" customWidth="1"/>
    <col min="2" max="2" width="12.42578125" customWidth="1"/>
    <col min="3" max="4" width="20.7109375" customWidth="1"/>
    <col min="5" max="6" width="15.85546875" customWidth="1"/>
    <col min="8" max="8" width="20.7109375" customWidth="1"/>
    <col min="9" max="9" width="12.42578125" customWidth="1"/>
    <col min="10" max="11" width="20.7109375" customWidth="1"/>
    <col min="12" max="12" width="15.85546875" customWidth="1"/>
    <col min="18" max="18" width="9.42578125" bestFit="1" customWidth="1"/>
  </cols>
  <sheetData>
    <row r="1" spans="1:18" x14ac:dyDescent="0.25">
      <c r="A1" s="249" t="str">
        <f>'E-Barrows'!B1&amp;" - "&amp;'E-Barrows'!C1</f>
        <v>Barrows - Low energy diet</v>
      </c>
      <c r="B1" s="249"/>
      <c r="C1" s="249"/>
      <c r="D1" s="249"/>
      <c r="E1" s="249"/>
      <c r="F1" s="152"/>
      <c r="H1" s="250" t="str">
        <f>'E-Barrows'!I1&amp;" - "&amp;'E-Barrows'!J1</f>
        <v xml:space="preserve">Barrows - Client </v>
      </c>
      <c r="I1" s="250"/>
      <c r="J1" s="250"/>
      <c r="K1" s="250"/>
      <c r="L1" s="250"/>
    </row>
    <row r="2" spans="1:18" x14ac:dyDescent="0.25">
      <c r="A2" s="219" t="str">
        <f>'E-Barrows'!B2</f>
        <v>Body Weight, kg</v>
      </c>
      <c r="B2" s="219" t="str">
        <f>'E-Barrows'!A2</f>
        <v>Age, d</v>
      </c>
      <c r="C2" s="219" t="str">
        <f>'E-Barrows'!C2</f>
        <v>Est. ADG, g/d</v>
      </c>
      <c r="D2" s="219" t="str">
        <f>'E-Barrows'!G2</f>
        <v>Ac. Feed intake, kg</v>
      </c>
      <c r="E2" s="219" t="str">
        <f>'E-Barrows'!D2</f>
        <v>Est. G:F</v>
      </c>
      <c r="F2" s="153"/>
      <c r="G2" t="s">
        <v>55</v>
      </c>
      <c r="H2" s="212" t="str">
        <f>A2</f>
        <v>Body Weight, kg</v>
      </c>
      <c r="I2" s="212" t="str">
        <f>B2</f>
        <v>Age, d</v>
      </c>
      <c r="J2" s="212" t="str">
        <f>C2</f>
        <v>Est. ADG, g/d</v>
      </c>
      <c r="K2" s="212" t="str">
        <f>D2</f>
        <v>Ac. Feed intake, kg</v>
      </c>
      <c r="L2" s="212" t="str">
        <f>E2</f>
        <v>Est. G:F</v>
      </c>
      <c r="M2" t="s">
        <v>69</v>
      </c>
      <c r="N2" t="s">
        <v>30</v>
      </c>
      <c r="P2" t="s">
        <v>67</v>
      </c>
      <c r="Q2" t="s">
        <v>68</v>
      </c>
      <c r="R2" t="s">
        <v>62</v>
      </c>
    </row>
    <row r="3" spans="1:18" x14ac:dyDescent="0.25">
      <c r="A3" s="27">
        <f>IF('E-Barrows'!A3&lt;'Adj-Barrows'!$B$10,'E-Barrows'!B3," ")</f>
        <v>6.1109619104329962</v>
      </c>
      <c r="B3" s="25">
        <f>IF('E-Barrows'!A3&lt;'Adj-Barrows'!$B$10,'E-Barrows'!A3," ")</f>
        <v>21</v>
      </c>
      <c r="G3" s="216">
        <f>IFERROR(I3,"")</f>
        <v>21</v>
      </c>
      <c r="H3" s="27">
        <f>IF('E-Barrows'!A3&lt;'Adj-Barrows'!$B$10,'E-Barrows'!I3," ")</f>
        <v>11.911087058338016</v>
      </c>
      <c r="I3" s="217">
        <f>IF('E-Barrows'!A3&lt;'Adj-Barrows'!$B$10,'E-Barrows'!A3," ")</f>
        <v>21</v>
      </c>
      <c r="K3" s="27"/>
      <c r="M3" s="19"/>
      <c r="N3" s="19"/>
      <c r="O3" s="19"/>
      <c r="R3" s="30">
        <f>IFERROR(IF(H3&lt;0,"",CONVERT(H3,"kg", "lbm")),"")</f>
        <v>26.259451979622177</v>
      </c>
    </row>
    <row r="4" spans="1:18" x14ac:dyDescent="0.25">
      <c r="A4" s="27">
        <f>IF('E-Barrows'!A4&lt;'Adj-Barrows'!$B$10,'E-Barrows'!B4," ")</f>
        <v>6.1941399512686033</v>
      </c>
      <c r="B4" s="25">
        <f>IF('E-Barrows'!A4&lt;'Adj-Barrows'!$B$10,'E-Barrows'!A4," ")</f>
        <v>22</v>
      </c>
      <c r="C4" s="25">
        <f>IF('E-Barrows'!A4&lt;'Adj-Barrows'!$B$10,'E-Barrows'!C4," ")</f>
        <v>83.178040835607092</v>
      </c>
      <c r="D4" s="27">
        <f>IF('E-Barrows'!A4&lt;'Adj-Barrows'!$B$10,'E-Barrows'!G4," ")</f>
        <v>8.567277187208909E-2</v>
      </c>
      <c r="E4" s="26">
        <f>IF('E-Barrows'!A4&lt;'Adj-Barrows'!$B$10,'E-Barrows'!D4," ")</f>
        <v>0.9708807012780365</v>
      </c>
      <c r="F4" s="26"/>
      <c r="G4" s="216">
        <f>IFERROR(I4,"")</f>
        <v>22</v>
      </c>
      <c r="H4" s="27">
        <f>IF('E-Barrows'!A4&lt;'Adj-Barrows'!$B$10,'E-Barrows'!I4," ")</f>
        <v>12.041816766811166</v>
      </c>
      <c r="I4" s="217">
        <f>IF('E-Barrows'!A4&lt;'Adj-Barrows'!$B$10,'E-Barrows'!A4," ")</f>
        <v>22</v>
      </c>
      <c r="J4" s="25">
        <f>IF('E-Barrows'!A4&lt;'Adj-Barrows'!$B$10,'E-Barrows'!J4," ")</f>
        <v>130.72970847315025</v>
      </c>
      <c r="K4" s="27">
        <f>IF('E-Barrows'!A4&lt;'Adj-Barrows'!$B$10,'E-Barrows'!N4," ")</f>
        <v>0.21478734805926358</v>
      </c>
      <c r="L4" s="26">
        <f>IF('E-Barrows'!A4&lt;'Adj-Barrows'!$B$10,'E-Barrows'!K4," ")</f>
        <v>0.60864715568386096</v>
      </c>
      <c r="M4" s="27">
        <f>IF('E-Barrows'!A4&lt;'Adj-Barrows'!$B$10,'E-Barrows'!M4," ")</f>
        <v>0.21478734805926358</v>
      </c>
      <c r="N4" s="29">
        <f>IF('E-Barrows'!A4&lt;'Adj-Barrows'!$B$10,1/L4," ")</f>
        <v>1.6429880443233562</v>
      </c>
      <c r="O4" s="19"/>
      <c r="P4" s="30">
        <f>IFERROR(IF(J4&lt;0,"",CONVERT(J4,"g", "lbm")),"")</f>
        <v>0.28820967264760261</v>
      </c>
      <c r="Q4" s="30">
        <f>IFERROR(IF(M4&lt;0,"",CONVERT(M4,"kg", "lbm")),"")</f>
        <v>0.47352504641835919</v>
      </c>
      <c r="R4" s="30">
        <f t="shared" ref="R4" si="0">IFERROR(IF(H4&lt;0,"",CONVERT(H4,"kg", "lbm")),"")</f>
        <v>26.547661652269781</v>
      </c>
    </row>
    <row r="5" spans="1:18" x14ac:dyDescent="0.25">
      <c r="A5" s="27">
        <f>IF('E-Barrows'!A5&lt;'Adj-Barrows'!$B$10,'E-Barrows'!B5," ")</f>
        <v>6.301648655238945</v>
      </c>
      <c r="B5" s="25">
        <f>IF('E-Barrows'!A5&lt;'Adj-Barrows'!$B$10,'E-Barrows'!A5," ")</f>
        <v>23</v>
      </c>
      <c r="C5" s="25">
        <f>IF('E-Barrows'!A5&lt;'Adj-Barrows'!$B$10,'E-Barrows'!C5," ")</f>
        <v>107.50870397034174</v>
      </c>
      <c r="D5" s="27">
        <f>IF('E-Barrows'!A5&lt;'Adj-Barrows'!$B$10,'E-Barrows'!G5," ")</f>
        <v>0.19748102766747205</v>
      </c>
      <c r="E5" s="26">
        <f>IF('E-Barrows'!A5&lt;'Adj-Barrows'!$B$10,'E-Barrows'!D5," ")</f>
        <v>0.96154530991960308</v>
      </c>
      <c r="F5" s="26"/>
      <c r="G5" s="216">
        <f t="shared" ref="G5:G67" si="1">IFERROR(I5,"")</f>
        <v>23</v>
      </c>
      <c r="H5" s="27">
        <f>IF('E-Barrows'!A5&lt;'Adj-Barrows'!$B$10,'E-Barrows'!I5," ")</f>
        <v>12.210786622162129</v>
      </c>
      <c r="I5" s="217">
        <f>IF('E-Barrows'!A5&lt;'Adj-Barrows'!$B$10,'E-Barrows'!A5," ")</f>
        <v>23</v>
      </c>
      <c r="J5" s="25">
        <f>IF('E-Barrows'!A5&lt;'Adj-Barrows'!$B$10,'E-Barrows'!J5," ")</f>
        <v>168.96985535096258</v>
      </c>
      <c r="K5" s="27">
        <f>IF('E-Barrows'!A5&lt;'Adj-Barrows'!$B$10,'E-Barrows'!N5," ")</f>
        <v>0.49509809590429538</v>
      </c>
      <c r="L5" s="26">
        <f>IF('E-Barrows'!A5&lt;'Adj-Barrows'!$B$10,'E-Barrows'!K5," ")</f>
        <v>0.60279477918690649</v>
      </c>
      <c r="M5" s="27">
        <f>IF('E-Barrows'!A5&lt;'Adj-Barrows'!$B$10,'E-Barrows'!M5," ")</f>
        <v>0.28031074784503179</v>
      </c>
      <c r="N5" s="29">
        <f>IF('E-Barrows'!A5&lt;'Adj-Barrows'!$B$10,1/L5," ")</f>
        <v>1.6589393845594895</v>
      </c>
      <c r="O5" s="19"/>
      <c r="P5" s="30">
        <f t="shared" ref="P5:P68" si="2">IFERROR(IF(J5&lt;0,"",CONVERT(J5,"g", "lbm")),"")</f>
        <v>0.37251476551724749</v>
      </c>
      <c r="Q5" s="30">
        <f t="shared" ref="Q5:Q68" si="3">IFERROR(IF(M5&lt;0,"",CONVERT(M5,"kg", "lbm")),"")</f>
        <v>0.61797941584650506</v>
      </c>
      <c r="R5" s="30">
        <f t="shared" ref="R5:R68" si="4">IFERROR(IF(H5&lt;0,"",CONVERT(H5,"kg", "lbm")),"")</f>
        <v>26.920176417787026</v>
      </c>
    </row>
    <row r="6" spans="1:18" x14ac:dyDescent="0.25">
      <c r="A6" s="27">
        <f>IF('E-Barrows'!A6&lt;'Adj-Barrows'!$B$10,'E-Barrows'!B6," ")</f>
        <v>6.4329087208408122</v>
      </c>
      <c r="B6" s="25">
        <f>IF('E-Barrows'!A6&lt;'Adj-Barrows'!$B$10,'E-Barrows'!A6," ")</f>
        <v>24</v>
      </c>
      <c r="C6" s="25">
        <f>IF('E-Barrows'!A6&lt;'Adj-Barrows'!$B$10,'E-Barrows'!C6," ")</f>
        <v>131.26006560186721</v>
      </c>
      <c r="D6" s="27">
        <f>IF('E-Barrows'!A6&lt;'Adj-Barrows'!$B$10,'E-Barrows'!G6," ")</f>
        <v>0.335303114936922</v>
      </c>
      <c r="E6" s="26">
        <f>IF('E-Barrows'!A6&lt;'Adj-Barrows'!$B$10,'E-Barrows'!D6," ")</f>
        <v>0.95238773553941614</v>
      </c>
      <c r="F6" s="26"/>
      <c r="G6" s="216">
        <f t="shared" si="1"/>
        <v>24</v>
      </c>
      <c r="H6" s="27">
        <f>IF('E-Barrows'!A6&lt;'Adj-Barrows'!$B$10,'E-Barrows'!I6," ")</f>
        <v>12.417086144703335</v>
      </c>
      <c r="I6" s="217">
        <f>IF('E-Barrows'!A6&lt;'Adj-Barrows'!$B$10,'E-Barrows'!A6," ")</f>
        <v>24</v>
      </c>
      <c r="J6" s="25">
        <f>IF('E-Barrows'!A6&lt;'Adj-Barrows'!$B$10,'E-Barrows'!J6," ")</f>
        <v>206.29952254120602</v>
      </c>
      <c r="K6" s="27">
        <f>IF('E-Barrows'!A6&lt;'Adj-Barrows'!$B$10,'E-Barrows'!N6," ")</f>
        <v>0.84062725273833006</v>
      </c>
      <c r="L6" s="26">
        <f>IF('E-Barrows'!A6&lt;'Adj-Barrows'!$B$10,'E-Barrows'!K6," ")</f>
        <v>0.59705387652798347</v>
      </c>
      <c r="M6" s="27">
        <f>IF('E-Barrows'!A6&lt;'Adj-Barrows'!$B$10,'E-Barrows'!M6," ")</f>
        <v>0.34552915683403473</v>
      </c>
      <c r="N6" s="29">
        <f>IF('E-Barrows'!A6&lt;'Adj-Barrows'!$B$10,1/L6," ")</f>
        <v>1.6748907247956386</v>
      </c>
      <c r="O6" s="19"/>
      <c r="P6" s="30">
        <f t="shared" si="2"/>
        <v>0.45481259427094423</v>
      </c>
      <c r="Q6" s="30">
        <f t="shared" si="3"/>
        <v>0.76176139566464651</v>
      </c>
      <c r="R6" s="30">
        <f t="shared" si="4"/>
        <v>27.37498901205797</v>
      </c>
    </row>
    <row r="7" spans="1:18" x14ac:dyDescent="0.25">
      <c r="A7" s="27">
        <f>IF('E-Barrows'!A7&lt;'Adj-Barrows'!$B$10,'E-Barrows'!B7," ")</f>
        <v>6.5873408465709966</v>
      </c>
      <c r="B7" s="25">
        <f>IF('E-Barrows'!A7&lt;'Adj-Barrows'!$B$10,'E-Barrows'!A7," ")</f>
        <v>25</v>
      </c>
      <c r="C7" s="25">
        <f>IF('E-Barrows'!A7&lt;'Adj-Barrows'!$B$10,'E-Barrows'!C7," ")</f>
        <v>154.4321257301844</v>
      </c>
      <c r="D7" s="27">
        <f>IF('E-Barrows'!A7&lt;'Adj-Barrows'!$B$10,'E-Barrows'!G7," ")</f>
        <v>0.49900000230989494</v>
      </c>
      <c r="E7" s="26">
        <f>IF('E-Barrows'!A7&lt;'Adj-Barrows'!$B$10,'E-Barrows'!D7," ")</f>
        <v>0.94340294558149185</v>
      </c>
      <c r="F7" s="26"/>
      <c r="G7" s="216">
        <f t="shared" si="1"/>
        <v>25</v>
      </c>
      <c r="H7" s="27">
        <f>IF('E-Barrows'!A7&lt;'Adj-Barrows'!$B$10,'E-Barrows'!I7," ")</f>
        <v>12.659804854747216</v>
      </c>
      <c r="I7" s="217">
        <f>IF('E-Barrows'!A7&lt;'Adj-Barrows'!$B$10,'E-Barrows'!A7," ")</f>
        <v>25</v>
      </c>
      <c r="J7" s="25">
        <f>IF('E-Barrows'!A7&lt;'Adj-Barrows'!$B$10,'E-Barrows'!J7," ")</f>
        <v>242.718710043882</v>
      </c>
      <c r="K7" s="27">
        <f>IF('E-Barrows'!A7&lt;'Adj-Barrows'!$B$10,'E-Barrows'!N7," ")</f>
        <v>1.2510262576507816</v>
      </c>
      <c r="L7" s="26">
        <f>IF('E-Barrows'!A7&lt;'Adj-Barrows'!$B$10,'E-Barrows'!K7," ")</f>
        <v>0.59142129278715017</v>
      </c>
      <c r="M7" s="27">
        <f>IF('E-Barrows'!A7&lt;'Adj-Barrows'!$B$10,'E-Barrows'!M7," ")</f>
        <v>0.4103990049124514</v>
      </c>
      <c r="N7" s="29">
        <f>IF('E-Barrows'!A7&lt;'Adj-Barrows'!$B$10,1/L7," ")</f>
        <v>1.690842065031797</v>
      </c>
      <c r="O7" s="19"/>
      <c r="P7" s="30">
        <f t="shared" si="2"/>
        <v>0.53510315890869586</v>
      </c>
      <c r="Q7" s="30">
        <f t="shared" si="3"/>
        <v>0.90477493021421718</v>
      </c>
      <c r="R7" s="30">
        <f t="shared" si="4"/>
        <v>27.910092170966667</v>
      </c>
    </row>
    <row r="8" spans="1:18" x14ac:dyDescent="0.25">
      <c r="A8" s="27">
        <f>IF('E-Barrows'!A8&lt;'Adj-Barrows'!$B$10,'E-Barrows'!B8," ")</f>
        <v>6.7643657309262917</v>
      </c>
      <c r="B8" s="25">
        <f>IF('E-Barrows'!A8&lt;'Adj-Barrows'!$B$10,'E-Barrows'!A8," ")</f>
        <v>26</v>
      </c>
      <c r="C8" s="25">
        <f>IF('E-Barrows'!A8&lt;'Adj-Barrows'!$B$10,'E-Barrows'!C8," ")</f>
        <v>177.02488435529506</v>
      </c>
      <c r="D8" s="27">
        <f>IF('E-Barrows'!A8&lt;'Adj-Barrows'!$B$10,'E-Barrows'!G8," ")</f>
        <v>0.69018551572989828</v>
      </c>
      <c r="E8" s="26">
        <f>IF('E-Barrows'!A8&lt;'Adj-Barrows'!$B$10,'E-Barrows'!D8," ")</f>
        <v>0.92593252066332199</v>
      </c>
      <c r="F8" s="26"/>
      <c r="G8" s="216">
        <f t="shared" si="1"/>
        <v>26</v>
      </c>
      <c r="H8" s="27">
        <f>IF('E-Barrows'!A8&lt;'Adj-Barrows'!$B$10,'E-Barrows'!I8," ")</f>
        <v>12.938032272606209</v>
      </c>
      <c r="I8" s="217">
        <f>IF('E-Barrows'!A8&lt;'Adj-Barrows'!$B$10,'E-Barrows'!A8," ")</f>
        <v>26</v>
      </c>
      <c r="J8" s="25">
        <f>IF('E-Barrows'!A8&lt;'Adj-Barrows'!$B$10,'E-Barrows'!J8," ")</f>
        <v>278.22741785899331</v>
      </c>
      <c r="K8" s="27">
        <f>IF('E-Barrows'!A8&lt;'Adj-Barrows'!$B$10,'E-Barrows'!N8," ")</f>
        <v>1.7303410798225314</v>
      </c>
      <c r="L8" s="26">
        <f>IF('E-Barrows'!A8&lt;'Adj-Barrows'!$B$10,'E-Barrows'!K8," ")</f>
        <v>0.58046904662442877</v>
      </c>
      <c r="M8" s="27">
        <f>IF('E-Barrows'!A8&lt;'Adj-Barrows'!$B$10,'E-Barrows'!M8," ")</f>
        <v>0.47931482217174992</v>
      </c>
      <c r="N8" s="29">
        <f>IF('E-Barrows'!A8&lt;'Adj-Barrows'!$B$10,1/L8," ")</f>
        <v>1.7227447455040843</v>
      </c>
      <c r="O8" s="19"/>
      <c r="P8" s="30">
        <f t="shared" si="2"/>
        <v>0.61338645943050873</v>
      </c>
      <c r="Q8" s="30">
        <f t="shared" si="3"/>
        <v>1.056708299947263</v>
      </c>
      <c r="R8" s="30">
        <f t="shared" si="4"/>
        <v>28.523478630397175</v>
      </c>
    </row>
    <row r="9" spans="1:18" x14ac:dyDescent="0.25">
      <c r="A9" s="27">
        <f>IF('E-Barrows'!A9&lt;'Adj-Barrows'!$B$10,'E-Barrows'!B9," ")</f>
        <v>6.9634040724034874</v>
      </c>
      <c r="B9" s="25">
        <f>IF('E-Barrows'!A9&lt;'Adj-Barrows'!$B$10,'E-Barrows'!A9," ")</f>
        <v>27</v>
      </c>
      <c r="C9" s="25">
        <f>IF('E-Barrows'!A9&lt;'Adj-Barrows'!$B$10,'E-Barrows'!C9," ")</f>
        <v>199.03834147719567</v>
      </c>
      <c r="D9" s="27">
        <f>IF('E-Barrows'!A9&lt;'Adj-Barrows'!$B$10,'E-Barrows'!G9," ")</f>
        <v>0.90797794045133839</v>
      </c>
      <c r="E9" s="26">
        <f>IF('E-Barrows'!A9&lt;'Adj-Barrows'!$B$10,'E-Barrows'!D9," ")</f>
        <v>0.91389010307300089</v>
      </c>
      <c r="F9" s="26"/>
      <c r="G9" s="216">
        <f t="shared" si="1"/>
        <v>27</v>
      </c>
      <c r="H9" s="27">
        <f>IF('E-Barrows'!A9&lt;'Adj-Barrows'!$B$10,'E-Barrows'!I9," ")</f>
        <v>13.250857918592743</v>
      </c>
      <c r="I9" s="217">
        <f>IF('E-Barrows'!A9&lt;'Adj-Barrows'!$B$10,'E-Barrows'!A9," ")</f>
        <v>27</v>
      </c>
      <c r="J9" s="25">
        <f>IF('E-Barrows'!A9&lt;'Adj-Barrows'!$B$10,'E-Barrows'!J9," ")</f>
        <v>312.82564598653437</v>
      </c>
      <c r="K9" s="27">
        <f>IF('E-Barrows'!A9&lt;'Adj-Barrows'!$B$10,'E-Barrows'!N9," ")</f>
        <v>2.2763612016315569</v>
      </c>
      <c r="L9" s="26">
        <f>IF('E-Barrows'!A9&lt;'Adj-Barrows'!$B$10,'E-Barrows'!K9," ")</f>
        <v>0.57291962968344134</v>
      </c>
      <c r="M9" s="27">
        <f>IF('E-Barrows'!A9&lt;'Adj-Barrows'!$B$10,'E-Barrows'!M9," ")</f>
        <v>0.54602012180902548</v>
      </c>
      <c r="N9" s="29">
        <f>IF('E-Barrows'!A9&lt;'Adj-Barrows'!$B$10,1/L9," ")</f>
        <v>1.7454455183400435</v>
      </c>
      <c r="O9" s="19"/>
      <c r="P9" s="30">
        <f t="shared" si="2"/>
        <v>0.68966249583637029</v>
      </c>
      <c r="Q9" s="30">
        <f t="shared" si="3"/>
        <v>1.2037683125248015</v>
      </c>
      <c r="R9" s="30">
        <f t="shared" si="4"/>
        <v>29.213141126233545</v>
      </c>
    </row>
    <row r="10" spans="1:18" x14ac:dyDescent="0.25">
      <c r="A10" s="27">
        <f>IF('E-Barrows'!A10&lt;'Adj-Barrows'!$B$10,'E-Barrows'!B10," ")</f>
        <v>7.183876569499378</v>
      </c>
      <c r="B10" s="25">
        <f>IF('E-Barrows'!A10&lt;'Adj-Barrows'!$B$10,'E-Barrows'!A10," ")</f>
        <v>28</v>
      </c>
      <c r="C10" s="25">
        <f>IF('E-Barrows'!A10&lt;'Adj-Barrows'!$B$10,'E-Barrows'!C10," ")</f>
        <v>220.47249709589067</v>
      </c>
      <c r="D10" s="27">
        <f>IF('E-Barrows'!A10&lt;'Adj-Barrows'!$B$10,'E-Barrows'!G10," ")</f>
        <v>1.1523772764742153</v>
      </c>
      <c r="E10" s="26">
        <f>IF('E-Barrows'!A10&lt;'Adj-Barrows'!$B$10,'E-Barrows'!D10," ")</f>
        <v>0.90209941108536196</v>
      </c>
      <c r="F10" s="26"/>
      <c r="G10" s="216">
        <f t="shared" si="1"/>
        <v>28</v>
      </c>
      <c r="H10" s="27">
        <f>IF('E-Barrows'!A10&lt;'Adj-Barrows'!$B$10,'E-Barrows'!I10," ")</f>
        <v>13.597371313019256</v>
      </c>
      <c r="I10" s="217">
        <f>IF('E-Barrows'!A10&lt;'Adj-Barrows'!$B$10,'E-Barrows'!A10," ")</f>
        <v>28</v>
      </c>
      <c r="J10" s="25">
        <f>IF('E-Barrows'!A10&lt;'Adj-Barrows'!$B$10,'E-Barrows'!J10," ")</f>
        <v>346.51339442651215</v>
      </c>
      <c r="K10" s="27">
        <f>IF('E-Barrows'!A10&lt;'Adj-Barrows'!$B$10,'E-Barrows'!N10," ")</f>
        <v>2.8890866230778576</v>
      </c>
      <c r="L10" s="26">
        <f>IF('E-Barrows'!A10&lt;'Adj-Barrows'!$B$10,'E-Barrows'!K10," ")</f>
        <v>0.56552802005274816</v>
      </c>
      <c r="M10" s="27">
        <f>IF('E-Barrows'!A10&lt;'Adj-Barrows'!$B$10,'E-Barrows'!M10," ")</f>
        <v>0.61272542144630071</v>
      </c>
      <c r="N10" s="29">
        <f>IF('E-Barrows'!A10&lt;'Adj-Barrows'!$B$10,1/L10," ")</f>
        <v>1.7682589801770168</v>
      </c>
      <c r="O10" s="19"/>
      <c r="P10" s="30">
        <f t="shared" si="2"/>
        <v>0.76393126812629619</v>
      </c>
      <c r="Q10" s="30">
        <f t="shared" si="3"/>
        <v>1.3508283251023394</v>
      </c>
      <c r="R10" s="30">
        <f t="shared" si="4"/>
        <v>29.977072394359841</v>
      </c>
    </row>
    <row r="11" spans="1:18" x14ac:dyDescent="0.25">
      <c r="A11" s="27">
        <f>IF('E-Barrows'!A11&lt;'Adj-Barrows'!$B$10,'E-Barrows'!B11," ")</f>
        <v>7.4252039207107545</v>
      </c>
      <c r="B11" s="25">
        <f>IF('E-Barrows'!A11&lt;'Adj-Barrows'!$B$10,'E-Barrows'!A11," ")</f>
        <v>29</v>
      </c>
      <c r="C11" s="25">
        <f>IF('E-Barrows'!A11&lt;'Adj-Barrows'!$B$10,'E-Barrows'!C11," ")</f>
        <v>241.32735121137648</v>
      </c>
      <c r="D11" s="27">
        <f>IF('E-Barrows'!A11&lt;'Adj-Barrows'!$B$10,'E-Barrows'!G11," ")</f>
        <v>1.4233835237985297</v>
      </c>
      <c r="E11" s="26">
        <f>IF('E-Barrows'!A11&lt;'Adj-Barrows'!$B$10,'E-Barrows'!D11," ")</f>
        <v>0.89048630278466967</v>
      </c>
      <c r="F11" s="26"/>
      <c r="G11" s="216">
        <f t="shared" si="1"/>
        <v>29</v>
      </c>
      <c r="H11" s="27">
        <f>IF('E-Barrows'!A11&lt;'Adj-Barrows'!$B$10,'E-Barrows'!I11," ")</f>
        <v>13.976661976198177</v>
      </c>
      <c r="I11" s="217">
        <f>IF('E-Barrows'!A11&lt;'Adj-Barrows'!$B$10,'E-Barrows'!A11," ")</f>
        <v>29</v>
      </c>
      <c r="J11" s="25">
        <f>IF('E-Barrows'!A11&lt;'Adj-Barrows'!$B$10,'E-Barrows'!J11," ")</f>
        <v>379.29066317892108</v>
      </c>
      <c r="K11" s="27">
        <f>IF('E-Barrows'!A11&lt;'Adj-Barrows'!$B$10,'E-Barrows'!N11," ")</f>
        <v>3.5685173441614362</v>
      </c>
      <c r="L11" s="26">
        <f>IF('E-Barrows'!A11&lt;'Adj-Barrows'!$B$10,'E-Barrows'!K11," ")</f>
        <v>0.55824773800927918</v>
      </c>
      <c r="M11" s="27">
        <f>IF('E-Barrows'!A11&lt;'Adj-Barrows'!$B$10,'E-Barrows'!M11," ")</f>
        <v>0.67943072108357838</v>
      </c>
      <c r="N11" s="29">
        <f>IF('E-Barrows'!A11&lt;'Adj-Barrows'!$B$10,1/L11," ")</f>
        <v>1.7913193944430779</v>
      </c>
      <c r="O11" s="19"/>
      <c r="P11" s="30">
        <f t="shared" si="2"/>
        <v>0.83619277630027389</v>
      </c>
      <c r="Q11" s="30">
        <f t="shared" si="3"/>
        <v>1.4978883376798828</v>
      </c>
      <c r="R11" s="30">
        <f t="shared" si="4"/>
        <v>30.813265170660113</v>
      </c>
    </row>
    <row r="12" spans="1:18" x14ac:dyDescent="0.25">
      <c r="A12" s="27">
        <f>IF('E-Barrows'!A12&lt;'Adj-Barrows'!$B$10,'E-Barrows'!B12," ")</f>
        <v>7.6868068245344086</v>
      </c>
      <c r="B12" s="25">
        <f>IF('E-Barrows'!A12&lt;'Adj-Barrows'!$B$10,'E-Barrows'!A12," ")</f>
        <v>30</v>
      </c>
      <c r="C12" s="25">
        <f>IF('E-Barrows'!A12&lt;'Adj-Barrows'!$B$10,'E-Barrows'!C12," ")</f>
        <v>261.60290382365406</v>
      </c>
      <c r="D12" s="27">
        <f>IF('E-Barrows'!A12&lt;'Adj-Barrows'!$B$10,'E-Barrows'!G12," ")</f>
        <v>1.7209966824242806</v>
      </c>
      <c r="E12" s="26">
        <f>IF('E-Barrows'!A12&lt;'Adj-Barrows'!$B$10,'E-Barrows'!D12," ")</f>
        <v>0.87900314969816329</v>
      </c>
      <c r="F12" s="26"/>
      <c r="G12" s="216">
        <f t="shared" si="1"/>
        <v>30</v>
      </c>
      <c r="H12" s="27">
        <f>IF('E-Barrows'!A12&lt;'Adj-Barrows'!$B$10,'E-Barrows'!I12," ")</f>
        <v>14.38781942844194</v>
      </c>
      <c r="I12" s="217">
        <f>IF('E-Barrows'!A12&lt;'Adj-Barrows'!$B$10,'E-Barrows'!A12," ")</f>
        <v>30</v>
      </c>
      <c r="J12" s="25">
        <f>IF('E-Barrows'!A12&lt;'Adj-Barrows'!$B$10,'E-Barrows'!J12," ")</f>
        <v>411.15745224376263</v>
      </c>
      <c r="K12" s="27">
        <f>IF('E-Barrows'!A12&lt;'Adj-Barrows'!$B$10,'E-Barrows'!N12," ")</f>
        <v>4.3146533648822896</v>
      </c>
      <c r="L12" s="26">
        <f>IF('E-Barrows'!A12&lt;'Adj-Barrows'!$B$10,'E-Barrows'!K12," ")</f>
        <v>0.55104892516318582</v>
      </c>
      <c r="M12" s="27">
        <f>IF('E-Barrows'!A12&lt;'Adj-Barrows'!$B$10,'E-Barrows'!M12," ")</f>
        <v>0.74613602072085317</v>
      </c>
      <c r="N12" s="29">
        <f>IF('E-Barrows'!A12&lt;'Adj-Barrows'!$B$10,1/L12," ")</f>
        <v>1.8147208974300482</v>
      </c>
      <c r="O12" s="19"/>
      <c r="P12" s="30">
        <f t="shared" si="2"/>
        <v>0.90644702035830682</v>
      </c>
      <c r="Q12" s="30">
        <f t="shared" si="3"/>
        <v>1.6449483502574196</v>
      </c>
      <c r="R12" s="30">
        <f t="shared" si="4"/>
        <v>31.71971219101842</v>
      </c>
    </row>
    <row r="13" spans="1:18" x14ac:dyDescent="0.25">
      <c r="A13" s="27">
        <f>IF('E-Barrows'!A13&lt;'Adj-Barrows'!$B$10,'E-Barrows'!B13," ")</f>
        <v>7.9681059794671345</v>
      </c>
      <c r="B13" s="25">
        <f>IF('E-Barrows'!A13&lt;'Adj-Barrows'!$B$10,'E-Barrows'!A13," ")</f>
        <v>31</v>
      </c>
      <c r="C13" s="25">
        <f>IF('E-Barrows'!A13&lt;'Adj-Barrows'!$B$10,'E-Barrows'!C13," ")</f>
        <v>281.29915493272597</v>
      </c>
      <c r="D13" s="27">
        <f>IF('E-Barrows'!A13&lt;'Adj-Barrows'!$B$10,'E-Barrows'!G13," ")</f>
        <v>2.045216752351469</v>
      </c>
      <c r="E13" s="26">
        <f>IF('E-Barrows'!A13&lt;'Adj-Barrows'!$B$10,'E-Barrows'!D13," ")</f>
        <v>0.86761795775288808</v>
      </c>
      <c r="F13" s="26"/>
      <c r="G13" s="216">
        <f t="shared" si="1"/>
        <v>31</v>
      </c>
      <c r="H13" s="27">
        <f>IF('E-Barrows'!A13&lt;'Adj-Barrows'!$B$10,'E-Barrows'!I13," ")</f>
        <v>14.829933190062981</v>
      </c>
      <c r="I13" s="217">
        <f>IF('E-Barrows'!A13&lt;'Adj-Barrows'!$B$10,'E-Barrows'!A13," ")</f>
        <v>31</v>
      </c>
      <c r="J13" s="25">
        <f>IF('E-Barrows'!A13&lt;'Adj-Barrows'!$B$10,'E-Barrows'!J13," ")</f>
        <v>442.11376162104085</v>
      </c>
      <c r="K13" s="27">
        <f>IF('E-Barrows'!A13&lt;'Adj-Barrows'!$B$10,'E-Barrows'!N13," ")</f>
        <v>5.1274946852404213</v>
      </c>
      <c r="L13" s="26">
        <f>IF('E-Barrows'!A13&lt;'Adj-Barrows'!$B$10,'E-Barrows'!K13," ")</f>
        <v>0.54391152436277368</v>
      </c>
      <c r="M13" s="27">
        <f>IF('E-Barrows'!A13&lt;'Adj-Barrows'!$B$10,'E-Barrows'!M13," ")</f>
        <v>0.81284132035813128</v>
      </c>
      <c r="N13" s="29">
        <f>IF('E-Barrows'!A13&lt;'Adj-Barrows'!$B$10,1/L13," ")</f>
        <v>1.8385343115712844</v>
      </c>
      <c r="O13" s="19"/>
      <c r="P13" s="30">
        <f t="shared" si="2"/>
        <v>0.97469400030040376</v>
      </c>
      <c r="Q13" s="30">
        <f t="shared" si="3"/>
        <v>1.7920083628349639</v>
      </c>
      <c r="R13" s="30">
        <f t="shared" si="4"/>
        <v>32.694406191318826</v>
      </c>
    </row>
    <row r="14" spans="1:18" x14ac:dyDescent="0.25">
      <c r="A14" s="27">
        <f>IF('E-Barrows'!A14&lt;'Adj-Barrows'!$B$10,'E-Barrows'!B14," ")</f>
        <v>8.2685220840057205</v>
      </c>
      <c r="B14" s="25">
        <f>IF('E-Barrows'!A14&lt;'Adj-Barrows'!$B$10,'E-Barrows'!A14," ")</f>
        <v>32</v>
      </c>
      <c r="C14" s="25">
        <f>IF('E-Barrows'!A14&lt;'Adj-Barrows'!$B$10,'E-Barrows'!C14," ")</f>
        <v>300.41610453858601</v>
      </c>
      <c r="D14" s="27">
        <f>IF('E-Barrows'!A14&lt;'Adj-Barrows'!$B$10,'E-Barrows'!G14," ")</f>
        <v>2.3960437335800928</v>
      </c>
      <c r="E14" s="26">
        <f>IF('E-Barrows'!A14&lt;'Adj-Barrows'!$B$10,'E-Barrows'!D14," ")</f>
        <v>0.85630843866827244</v>
      </c>
      <c r="F14" s="26"/>
      <c r="G14" s="216">
        <f t="shared" si="1"/>
        <v>32</v>
      </c>
      <c r="H14" s="27">
        <f>IF('E-Barrows'!A14&lt;'Adj-Barrows'!$B$10,'E-Barrows'!I14," ")</f>
        <v>15.302092781373727</v>
      </c>
      <c r="I14" s="217">
        <f>IF('E-Barrows'!A14&lt;'Adj-Barrows'!$B$10,'E-Barrows'!A14," ")</f>
        <v>32</v>
      </c>
      <c r="J14" s="25">
        <f>IF('E-Barrows'!A14&lt;'Adj-Barrows'!$B$10,'E-Barrows'!J14," ")</f>
        <v>472.15959131074595</v>
      </c>
      <c r="K14" s="27">
        <f>IF('E-Barrows'!A14&lt;'Adj-Barrows'!$B$10,'E-Barrows'!N14," ")</f>
        <v>6.0070413052358234</v>
      </c>
      <c r="L14" s="26">
        <f>IF('E-Barrows'!A14&lt;'Adj-Barrows'!$B$10,'E-Barrows'!K14," ")</f>
        <v>0.53682156303802764</v>
      </c>
      <c r="M14" s="27">
        <f>IF('E-Barrows'!A14&lt;'Adj-Barrows'!$B$10,'E-Barrows'!M14," ")</f>
        <v>0.87954661999540229</v>
      </c>
      <c r="N14" s="29">
        <f>IF('E-Barrows'!A14&lt;'Adj-Barrows'!$B$10,1/L14," ")</f>
        <v>1.8628163785759879</v>
      </c>
      <c r="O14" s="19"/>
      <c r="P14" s="30">
        <f t="shared" si="2"/>
        <v>1.0409337161265431</v>
      </c>
      <c r="Q14" s="30">
        <f t="shared" si="3"/>
        <v>1.9390683754124927</v>
      </c>
      <c r="R14" s="30">
        <f t="shared" si="4"/>
        <v>33.735339907445372</v>
      </c>
    </row>
    <row r="15" spans="1:18" x14ac:dyDescent="0.25">
      <c r="A15" s="27">
        <f>IF('E-Barrows'!A15&lt;'Adj-Barrows'!$B$10,'E-Barrows'!B15," ")</f>
        <v>8.5874758366469628</v>
      </c>
      <c r="B15" s="25">
        <f>IF('E-Barrows'!A15&lt;'Adj-Barrows'!$B$10,'E-Barrows'!A15," ")</f>
        <v>33</v>
      </c>
      <c r="C15" s="25">
        <f>IF('E-Barrows'!A15&lt;'Adj-Barrows'!$B$10,'E-Barrows'!C15," ")</f>
        <v>318.95375264124226</v>
      </c>
      <c r="D15" s="27">
        <f>IF('E-Barrows'!A15&lt;'Adj-Barrows'!$B$10,'E-Barrows'!G15," ")</f>
        <v>2.773477626110155</v>
      </c>
      <c r="E15" s="26">
        <f>IF('E-Barrows'!A15&lt;'Adj-Barrows'!$B$10,'E-Barrows'!D15," ")</f>
        <v>0.84505858894438823</v>
      </c>
      <c r="F15" s="26"/>
      <c r="G15" s="216">
        <f t="shared" si="1"/>
        <v>33</v>
      </c>
      <c r="H15" s="27">
        <f>IF('E-Barrows'!A15&lt;'Adj-Barrows'!$B$10,'E-Barrows'!I15," ")</f>
        <v>15.803387722686617</v>
      </c>
      <c r="I15" s="217">
        <f>IF('E-Barrows'!A15&lt;'Adj-Barrows'!$B$10,'E-Barrows'!A15," ")</f>
        <v>33</v>
      </c>
      <c r="J15" s="25">
        <f>IF('E-Barrows'!A15&lt;'Adj-Barrows'!$B$10,'E-Barrows'!J15," ")</f>
        <v>501.29494131289067</v>
      </c>
      <c r="K15" s="27">
        <f>IF('E-Barrows'!A15&lt;'Adj-Barrows'!$B$10,'E-Barrows'!N15," ")</f>
        <v>6.9532932248685055</v>
      </c>
      <c r="L15" s="26">
        <f>IF('E-Barrows'!A15&lt;'Adj-Barrows'!$B$10,'E-Barrows'!K15," ")</f>
        <v>0.5297690085611495</v>
      </c>
      <c r="M15" s="27">
        <f>IF('E-Barrows'!A15&lt;'Adj-Barrows'!$B$10,'E-Barrows'!M15," ")</f>
        <v>0.9462519196326824</v>
      </c>
      <c r="N15" s="29">
        <f>IF('E-Barrows'!A15&lt;'Adj-Barrows'!$B$10,1/L15," ")</f>
        <v>1.8876151376162904</v>
      </c>
      <c r="O15" s="19"/>
      <c r="P15" s="30">
        <f t="shared" si="2"/>
        <v>1.1051661678367533</v>
      </c>
      <c r="Q15" s="30">
        <f t="shared" si="3"/>
        <v>2.086128387990041</v>
      </c>
      <c r="R15" s="30">
        <f t="shared" si="4"/>
        <v>34.840506075282121</v>
      </c>
    </row>
    <row r="16" spans="1:18" x14ac:dyDescent="0.25">
      <c r="A16" s="27">
        <f>IF('E-Barrows'!A16&lt;'Adj-Barrows'!$B$10,'E-Barrows'!B16," ")</f>
        <v>8.9243879358876512</v>
      </c>
      <c r="B16" s="25">
        <f>IF('E-Barrows'!A16&lt;'Adj-Barrows'!$B$10,'E-Barrows'!A16," ")</f>
        <v>34</v>
      </c>
      <c r="C16" s="25">
        <f>IF('E-Barrows'!A16&lt;'Adj-Barrows'!$B$10,'E-Barrows'!C16," ")</f>
        <v>336.91209924068846</v>
      </c>
      <c r="D16" s="27">
        <f>IF('E-Barrows'!A16&lt;'Adj-Barrows'!$B$10,'E-Barrows'!G16," ")</f>
        <v>3.1775184299416552</v>
      </c>
      <c r="E16" s="26">
        <f>IF('E-Barrows'!A16&lt;'Adj-Barrows'!$B$10,'E-Barrows'!D16," ")</f>
        <v>0.83385662053378429</v>
      </c>
      <c r="F16" s="26"/>
      <c r="G16" s="216">
        <f t="shared" si="1"/>
        <v>34</v>
      </c>
      <c r="H16" s="27">
        <f>IF('E-Barrows'!A16&lt;'Adj-Barrows'!$B$10,'E-Barrows'!I16," ")</f>
        <v>16.332907534314081</v>
      </c>
      <c r="I16" s="217">
        <f>IF('E-Barrows'!A16&lt;'Adj-Barrows'!$B$10,'E-Barrows'!A16," ")</f>
        <v>34</v>
      </c>
      <c r="J16" s="25">
        <f>IF('E-Barrows'!A16&lt;'Adj-Barrows'!$B$10,'E-Barrows'!J16," ")</f>
        <v>529.51981162746517</v>
      </c>
      <c r="K16" s="27">
        <f>IF('E-Barrows'!A16&lt;'Adj-Barrows'!$B$10,'E-Barrows'!N16," ")</f>
        <v>7.9662504441384669</v>
      </c>
      <c r="L16" s="26">
        <f>IF('E-Barrows'!A16&lt;'Adj-Barrows'!$B$10,'E-Barrows'!K16," ")</f>
        <v>0.52274647098037408</v>
      </c>
      <c r="M16" s="27">
        <f>IF('E-Barrows'!A16&lt;'Adj-Barrows'!$B$10,'E-Barrows'!M16," ")</f>
        <v>1.0129572192699612</v>
      </c>
      <c r="N16" s="29">
        <f>IF('E-Barrows'!A16&lt;'Adj-Barrows'!$B$10,1/L16," ")</f>
        <v>1.9129732203157119</v>
      </c>
      <c r="O16" s="19"/>
      <c r="P16" s="30">
        <f t="shared" si="2"/>
        <v>1.167391355431012</v>
      </c>
      <c r="Q16" s="30">
        <f t="shared" si="3"/>
        <v>2.2331884005675868</v>
      </c>
      <c r="R16" s="30">
        <f t="shared" si="4"/>
        <v>36.007897430713136</v>
      </c>
    </row>
    <row r="17" spans="1:18" x14ac:dyDescent="0.25">
      <c r="A17" s="27">
        <f>IF('E-Barrows'!A17&lt;'Adj-Barrows'!$B$10,'E-Barrows'!B17," ")</f>
        <v>9.2786790802245775</v>
      </c>
      <c r="B17" s="25">
        <f>IF('E-Barrows'!A17&lt;'Adj-Barrows'!$B$10,'E-Barrows'!A17," ")</f>
        <v>35</v>
      </c>
      <c r="C17" s="25">
        <f>IF('E-Barrows'!A17&lt;'Adj-Barrows'!$B$10,'E-Barrows'!C17," ")</f>
        <v>354.29114433692632</v>
      </c>
      <c r="D17" s="27">
        <f>IF('E-Barrows'!A17&lt;'Adj-Barrows'!$B$10,'E-Barrows'!G17," ")</f>
        <v>3.6081661450745903</v>
      </c>
      <c r="E17" s="26">
        <f>IF('E-Barrows'!A17&lt;'Adj-Barrows'!$B$10,'E-Barrows'!D17," ")</f>
        <v>0.82269365861505006</v>
      </c>
      <c r="F17" s="26"/>
      <c r="G17" s="216">
        <f t="shared" si="1"/>
        <v>35</v>
      </c>
      <c r="H17" s="27">
        <f>IF('E-Barrows'!A17&lt;'Adj-Barrows'!$B$10,'E-Barrows'!I17," ")</f>
        <v>16.889741736568553</v>
      </c>
      <c r="I17" s="217">
        <f>IF('E-Barrows'!A17&lt;'Adj-Barrows'!$B$10,'E-Barrows'!A17," ")</f>
        <v>35</v>
      </c>
      <c r="J17" s="25">
        <f>IF('E-Barrows'!A17&lt;'Adj-Barrows'!$B$10,'E-Barrows'!J17," ")</f>
        <v>556.83420225447207</v>
      </c>
      <c r="K17" s="27">
        <f>IF('E-Barrows'!A17&lt;'Adj-Barrows'!$B$10,'E-Barrows'!N17," ")</f>
        <v>9.0459129630456996</v>
      </c>
      <c r="L17" s="26">
        <f>IF('E-Barrows'!A17&lt;'Adj-Barrows'!$B$10,'E-Barrows'!K17," ")</f>
        <v>0.51574838665147449</v>
      </c>
      <c r="M17" s="27">
        <f>IF('E-Barrows'!A17&lt;'Adj-Barrows'!$B$10,'E-Barrows'!M17," ")</f>
        <v>1.0796625189072322</v>
      </c>
      <c r="N17" s="29">
        <f>IF('E-Barrows'!A17&lt;'Adj-Barrows'!$B$10,1/L17," ")</f>
        <v>1.9389299625202057</v>
      </c>
      <c r="O17" s="19"/>
      <c r="P17" s="30">
        <f t="shared" si="2"/>
        <v>1.2276092789093256</v>
      </c>
      <c r="Q17" s="30">
        <f t="shared" si="3"/>
        <v>2.3802484131451154</v>
      </c>
      <c r="R17" s="30">
        <f t="shared" si="4"/>
        <v>37.235506709622463</v>
      </c>
    </row>
    <row r="18" spans="1:18" x14ac:dyDescent="0.25">
      <c r="A18" s="27">
        <f>IF('E-Barrows'!A18&lt;'Adj-Barrows'!$B$10,'E-Barrows'!B18," ")</f>
        <v>9.6497699681545335</v>
      </c>
      <c r="B18" s="25">
        <f>IF('E-Barrows'!A18&lt;'Adj-Barrows'!$B$10,'E-Barrows'!A18," ")</f>
        <v>36</v>
      </c>
      <c r="C18" s="25">
        <f>IF('E-Barrows'!A18&lt;'Adj-Barrows'!$B$10,'E-Barrows'!C18," ")</f>
        <v>371.0908879299559</v>
      </c>
      <c r="D18" s="27">
        <f>IF('E-Barrows'!A18&lt;'Adj-Barrows'!$B$10,'E-Barrows'!G18," ")</f>
        <v>4.065420771508963</v>
      </c>
      <c r="E18" s="26">
        <f>IF('E-Barrows'!A18&lt;'Adj-Barrows'!$B$10,'E-Barrows'!D18," ")</f>
        <v>0.81156289401309423</v>
      </c>
      <c r="F18" s="26"/>
      <c r="G18" s="216">
        <f t="shared" si="1"/>
        <v>36</v>
      </c>
      <c r="H18" s="27">
        <f>IF('E-Barrows'!A18&lt;'Adj-Barrows'!$B$10,'E-Barrows'!I18," ")</f>
        <v>17.472979849762464</v>
      </c>
      <c r="I18" s="217">
        <f>IF('E-Barrows'!A18&lt;'Adj-Barrows'!$B$10,'E-Barrows'!A18," ")</f>
        <v>36</v>
      </c>
      <c r="J18" s="25">
        <f>IF('E-Barrows'!A18&lt;'Adj-Barrows'!$B$10,'E-Barrows'!J18," ")</f>
        <v>583.23811319391154</v>
      </c>
      <c r="K18" s="27">
        <f>IF('E-Barrows'!A18&lt;'Adj-Barrows'!$B$10,'E-Barrows'!N18," ")</f>
        <v>10.19228078159021</v>
      </c>
      <c r="L18" s="26">
        <f>IF('E-Barrows'!A18&lt;'Adj-Barrows'!$B$10,'E-Barrows'!K18," ")</f>
        <v>0.50877048688825033</v>
      </c>
      <c r="M18" s="27">
        <f>IF('E-Barrows'!A18&lt;'Adj-Barrows'!$B$10,'E-Barrows'!M18," ")</f>
        <v>1.1463678185445094</v>
      </c>
      <c r="N18" s="29">
        <f>IF('E-Barrows'!A18&lt;'Adj-Barrows'!$B$10,1/L18," ")</f>
        <v>1.9655228158304052</v>
      </c>
      <c r="O18" s="19"/>
      <c r="P18" s="30">
        <f t="shared" si="2"/>
        <v>1.2858199382716944</v>
      </c>
      <c r="Q18" s="30">
        <f t="shared" si="3"/>
        <v>2.5273084257226577</v>
      </c>
      <c r="R18" s="30">
        <f t="shared" si="4"/>
        <v>38.521326647894149</v>
      </c>
    </row>
    <row r="19" spans="1:18" x14ac:dyDescent="0.25">
      <c r="A19" s="27">
        <f>IF('E-Barrows'!A19&lt;'Adj-Barrows'!$B$10,'E-Barrows'!B19," ")</f>
        <v>10.037081298174312</v>
      </c>
      <c r="B19" s="25">
        <f>IF('E-Barrows'!A19&lt;'Adj-Barrows'!$B$10,'E-Barrows'!A19," ")</f>
        <v>37</v>
      </c>
      <c r="C19" s="25">
        <f>IF('E-Barrows'!A19&lt;'Adj-Barrows'!$B$10,'E-Barrows'!C19," ")</f>
        <v>387.31133001977901</v>
      </c>
      <c r="D19" s="27">
        <f>IF('E-Barrows'!A19&lt;'Adj-Barrows'!$B$10,'E-Barrows'!G19," ")</f>
        <v>4.5492823092447727</v>
      </c>
      <c r="E19" s="26">
        <f>IF('E-Barrows'!A19&lt;'Adj-Barrows'!$B$10,'E-Barrows'!D19," ")</f>
        <v>0.80045901526327234</v>
      </c>
      <c r="F19" s="26"/>
      <c r="G19" s="216">
        <f t="shared" si="1"/>
        <v>37</v>
      </c>
      <c r="H19" s="27">
        <f>IF('E-Barrows'!A19&lt;'Adj-Barrows'!$B$10,'E-Barrows'!I19," ")</f>
        <v>18.081711394208249</v>
      </c>
      <c r="I19" s="217">
        <f>IF('E-Barrows'!A19&lt;'Adj-Barrows'!$B$10,'E-Barrows'!A19," ")</f>
        <v>37</v>
      </c>
      <c r="J19" s="25">
        <f>IF('E-Barrows'!A19&lt;'Adj-Barrows'!$B$10,'E-Barrows'!J19," ")</f>
        <v>608.73154444578643</v>
      </c>
      <c r="K19" s="27">
        <f>IF('E-Barrows'!A19&lt;'Adj-Barrows'!$B$10,'E-Barrows'!N19," ")</f>
        <v>11.405353899771995</v>
      </c>
      <c r="L19" s="26">
        <f>IF('E-Barrows'!A19&lt;'Adj-Barrows'!$B$10,'E-Barrows'!K19," ")</f>
        <v>0.50180944192233312</v>
      </c>
      <c r="M19" s="27">
        <f>IF('E-Barrows'!A19&lt;'Adj-Barrows'!$B$10,'E-Barrows'!M19," ")</f>
        <v>1.213073118181786</v>
      </c>
      <c r="N19" s="29">
        <f>IF('E-Barrows'!A19&lt;'Adj-Barrows'!$B$10,1/L19," ")</f>
        <v>1.9927883305048963</v>
      </c>
      <c r="O19" s="19"/>
      <c r="P19" s="30">
        <f t="shared" si="2"/>
        <v>1.3420233335181242</v>
      </c>
      <c r="Q19" s="30">
        <f t="shared" si="3"/>
        <v>2.6743684383001991</v>
      </c>
      <c r="R19" s="30">
        <f t="shared" si="4"/>
        <v>39.86334998141227</v>
      </c>
    </row>
    <row r="20" spans="1:18" x14ac:dyDescent="0.25">
      <c r="A20" s="27">
        <f>IF('E-Barrows'!A20&lt;'Adj-Barrows'!$B$10,'E-Barrows'!B20," ")</f>
        <v>10.440033768780705</v>
      </c>
      <c r="B20" s="25">
        <f>IF('E-Barrows'!A20&lt;'Adj-Barrows'!$B$10,'E-Barrows'!A20," ")</f>
        <v>38</v>
      </c>
      <c r="C20" s="25">
        <f>IF('E-Barrows'!A20&lt;'Adj-Barrows'!$B$10,'E-Barrows'!C20," ")</f>
        <v>402.95247060639207</v>
      </c>
      <c r="D20" s="27">
        <f>IF('E-Barrows'!A20&lt;'Adj-Barrows'!$B$10,'E-Barrows'!G20," ")</f>
        <v>5.0597507582820187</v>
      </c>
      <c r="E20" s="26">
        <f>IF('E-Barrows'!A20&lt;'Adj-Barrows'!$B$10,'E-Barrows'!D20," ")</f>
        <v>0.78937781828900255</v>
      </c>
      <c r="F20" s="26"/>
      <c r="G20" s="216">
        <f t="shared" si="1"/>
        <v>38</v>
      </c>
      <c r="H20" s="27">
        <f>IF('E-Barrows'!A20&lt;'Adj-Barrows'!$B$10,'E-Barrows'!I20," ")</f>
        <v>18.715025890218339</v>
      </c>
      <c r="I20" s="217">
        <f>IF('E-Barrows'!A20&lt;'Adj-Barrows'!$B$10,'E-Barrows'!A20," ")</f>
        <v>38</v>
      </c>
      <c r="J20" s="25">
        <f>IF('E-Barrows'!A20&lt;'Adj-Barrows'!$B$10,'E-Barrows'!J20," ")</f>
        <v>633.31449601009115</v>
      </c>
      <c r="K20" s="27">
        <f>IF('E-Barrows'!A20&lt;'Adj-Barrows'!$B$10,'E-Barrows'!N20," ")</f>
        <v>12.685132317591055</v>
      </c>
      <c r="L20" s="26">
        <f>IF('E-Barrows'!A20&lt;'Adj-Barrows'!$B$10,'E-Barrows'!K20," ")</f>
        <v>0.49486261620926292</v>
      </c>
      <c r="M20" s="27">
        <f>IF('E-Barrows'!A20&lt;'Adj-Barrows'!$B$10,'E-Barrows'!M20," ")</f>
        <v>1.2797784178190599</v>
      </c>
      <c r="N20" s="29">
        <f>IF('E-Barrows'!A20&lt;'Adj-Barrows'!$B$10,1/L20," ")</f>
        <v>2.0207628688143404</v>
      </c>
      <c r="O20" s="19"/>
      <c r="P20" s="30">
        <f t="shared" si="2"/>
        <v>1.3962194646486032</v>
      </c>
      <c r="Q20" s="30">
        <f t="shared" si="3"/>
        <v>2.8214284508777334</v>
      </c>
      <c r="R20" s="30">
        <f t="shared" si="4"/>
        <v>41.259569446060873</v>
      </c>
    </row>
    <row r="21" spans="1:18" x14ac:dyDescent="0.25">
      <c r="A21" s="27">
        <f>IF('E-Barrows'!A21&lt;'Adj-Barrows'!$B$10,'E-Barrows'!B21," ")</f>
        <v>10.858048078470507</v>
      </c>
      <c r="B21" s="25">
        <f>IF('E-Barrows'!A21&lt;'Adj-Barrows'!$B$10,'E-Barrows'!A21," ")</f>
        <v>39</v>
      </c>
      <c r="C21" s="25">
        <f>IF('E-Barrows'!A21&lt;'Adj-Barrows'!$B$10,'E-Barrows'!C21," ")</f>
        <v>418.01430968980213</v>
      </c>
      <c r="D21" s="27">
        <f>IF('E-Barrows'!A21&lt;'Adj-Barrows'!$B$10,'E-Barrows'!G21," ")</f>
        <v>5.5968261186207027</v>
      </c>
      <c r="E21" s="26">
        <f>IF('E-Barrows'!A21&lt;'Adj-Barrows'!$B$10,'E-Barrows'!D21," ")</f>
        <v>0.77831593209973204</v>
      </c>
      <c r="F21" s="26"/>
      <c r="G21" s="216">
        <f t="shared" si="1"/>
        <v>39</v>
      </c>
      <c r="H21" s="27">
        <f>IF('E-Barrows'!A21&lt;'Adj-Barrows'!$B$10,'E-Barrows'!I21," ")</f>
        <v>19.372012858105176</v>
      </c>
      <c r="I21" s="217">
        <f>IF('E-Barrows'!A21&lt;'Adj-Barrows'!$B$10,'E-Barrows'!A21," ")</f>
        <v>39</v>
      </c>
      <c r="J21" s="25">
        <f>IF('E-Barrows'!A21&lt;'Adj-Barrows'!$B$10,'E-Barrows'!J21," ")</f>
        <v>656.98696788683662</v>
      </c>
      <c r="K21" s="27">
        <f>IF('E-Barrows'!A21&lt;'Adj-Barrows'!$B$10,'E-Barrows'!N21," ")</f>
        <v>14.031616035047392</v>
      </c>
      <c r="L21" s="26">
        <f>IF('E-Barrows'!A21&lt;'Adj-Barrows'!$B$10,'E-Barrows'!K21," ")</f>
        <v>0.48792789646796492</v>
      </c>
      <c r="M21" s="27">
        <f>IF('E-Barrows'!A21&lt;'Adj-Barrows'!$B$10,'E-Barrows'!M21," ")</f>
        <v>1.346483717456338</v>
      </c>
      <c r="N21" s="29">
        <f>IF('E-Barrows'!A21&lt;'Adj-Barrows'!$B$10,1/L21," ")</f>
        <v>2.0494831454377715</v>
      </c>
      <c r="O21" s="19"/>
      <c r="P21" s="30">
        <f t="shared" si="2"/>
        <v>1.4484083316631551</v>
      </c>
      <c r="Q21" s="30">
        <f t="shared" si="3"/>
        <v>2.9684884634552779</v>
      </c>
      <c r="R21" s="30">
        <f t="shared" si="4"/>
        <v>42.707977777724025</v>
      </c>
    </row>
    <row r="22" spans="1:18" x14ac:dyDescent="0.25">
      <c r="A22" s="27">
        <f>IF('E-Barrows'!A22&lt;'Adj-Barrows'!$B$10,'E-Barrows'!B22," ")</f>
        <v>11.290544925740504</v>
      </c>
      <c r="B22" s="25">
        <f>IF('E-Barrows'!A22&lt;'Adj-Barrows'!$B$10,'E-Barrows'!A22," ")</f>
        <v>40</v>
      </c>
      <c r="C22" s="25">
        <f>IF('E-Barrows'!A22&lt;'Adj-Barrows'!$B$10,'E-Barrows'!C22," ")</f>
        <v>432.49684726999681</v>
      </c>
      <c r="D22" s="27">
        <f>IF('E-Barrows'!A22&lt;'Adj-Barrows'!$B$10,'E-Barrows'!G22," ")</f>
        <v>6.1605083902608229</v>
      </c>
      <c r="E22" s="26">
        <f>IF('E-Barrows'!A22&lt;'Adj-Barrows'!$B$10,'E-Barrows'!D22," ")</f>
        <v>0.76727062217440412</v>
      </c>
      <c r="F22" s="26"/>
      <c r="G22" s="216">
        <f t="shared" si="1"/>
        <v>40</v>
      </c>
      <c r="H22" s="27">
        <f>IF('E-Barrows'!A22&lt;'Adj-Barrows'!$B$10,'E-Barrows'!I22," ")</f>
        <v>20.051761818181181</v>
      </c>
      <c r="I22" s="217">
        <f>IF('E-Barrows'!A22&lt;'Adj-Barrows'!$B$10,'E-Barrows'!A22," ")</f>
        <v>40</v>
      </c>
      <c r="J22" s="25">
        <f>IF('E-Barrows'!A22&lt;'Adj-Barrows'!$B$10,'E-Barrows'!J22," ")</f>
        <v>679.74896007600353</v>
      </c>
      <c r="K22" s="27">
        <f>IF('E-Barrows'!A22&lt;'Adj-Barrows'!$B$10,'E-Barrows'!N22," ")</f>
        <v>15.444805052141007</v>
      </c>
      <c r="L22" s="26">
        <f>IF('E-Barrows'!A22&lt;'Adj-Barrows'!$B$10,'E-Barrows'!K22," ")</f>
        <v>0.48100356842143144</v>
      </c>
      <c r="M22" s="27">
        <f>IF('E-Barrows'!A22&lt;'Adj-Barrows'!$B$10,'E-Barrows'!M22," ")</f>
        <v>1.4131890170936137</v>
      </c>
      <c r="N22" s="29">
        <f>IF('E-Barrows'!A22&lt;'Adj-Barrows'!$B$10,1/L22," ")</f>
        <v>2.0789866555082388</v>
      </c>
      <c r="O22" s="19"/>
      <c r="P22" s="30">
        <f t="shared" si="2"/>
        <v>1.4985899345617377</v>
      </c>
      <c r="Q22" s="30">
        <f t="shared" si="3"/>
        <v>3.1155484760328171</v>
      </c>
      <c r="R22" s="30">
        <f t="shared" si="4"/>
        <v>44.206567712285768</v>
      </c>
    </row>
    <row r="23" spans="1:18" x14ac:dyDescent="0.25">
      <c r="A23" s="27">
        <f>IF('E-Barrows'!A23&lt;'Adj-Barrows'!$B$10,'E-Barrows'!B23," ")</f>
        <v>11.736945009087494</v>
      </c>
      <c r="B23" s="25">
        <f>IF('E-Barrows'!A23&lt;'Adj-Barrows'!$B$10,'E-Barrows'!A23," ")</f>
        <v>41</v>
      </c>
      <c r="C23" s="25">
        <f>IF('E-Barrows'!A23&lt;'Adj-Barrows'!$B$10,'E-Barrows'!C23," ")</f>
        <v>446.4000833469903</v>
      </c>
      <c r="D23" s="27">
        <f>IF('E-Barrows'!A23&lt;'Adj-Barrows'!$B$10,'E-Barrows'!G23," ")</f>
        <v>6.7454761909420924</v>
      </c>
      <c r="E23" s="26">
        <f>IF('E-Barrows'!A23&lt;'Adj-Barrows'!$B$10,'E-Barrows'!D23," ")</f>
        <v>0.76311906882242153</v>
      </c>
      <c r="F23" s="26"/>
      <c r="G23" s="216">
        <f t="shared" si="1"/>
        <v>41</v>
      </c>
      <c r="H23" s="27">
        <f>IF('E-Barrows'!A23&lt;'Adj-Barrows'!$B$10,'E-Barrows'!I23," ")</f>
        <v>20.753362290758794</v>
      </c>
      <c r="I23" s="217">
        <f>IF('E-Barrows'!A23&lt;'Adj-Barrows'!$B$10,'E-Barrows'!A23," ")</f>
        <v>41</v>
      </c>
      <c r="J23" s="25">
        <f>IF('E-Barrows'!A23&lt;'Adj-Barrows'!$B$10,'E-Barrows'!J23," ")</f>
        <v>701.60047257761414</v>
      </c>
      <c r="K23" s="27">
        <f>IF('E-Barrows'!A23&lt;'Adj-Barrows'!$B$10,'E-Barrows'!N23," ")</f>
        <v>16.91135830894444</v>
      </c>
      <c r="L23" s="26">
        <f>IF('E-Barrows'!A23&lt;'Adj-Barrows'!$B$10,'E-Barrows'!K23," ")</f>
        <v>0.47840095088456236</v>
      </c>
      <c r="M23" s="27">
        <f>IF('E-Barrows'!A23&lt;'Adj-Barrows'!$B$10,'E-Barrows'!M23," ")</f>
        <v>1.4665532568034332</v>
      </c>
      <c r="N23" s="29">
        <f>IF('E-Barrows'!A23&lt;'Adj-Barrows'!$B$10,1/L23," ")</f>
        <v>2.0902968485973994</v>
      </c>
      <c r="O23" s="19"/>
      <c r="P23" s="30">
        <f t="shared" si="2"/>
        <v>1.5467642733443998</v>
      </c>
      <c r="Q23" s="30">
        <f t="shared" si="3"/>
        <v>3.2331964860948457</v>
      </c>
      <c r="R23" s="30">
        <f t="shared" si="4"/>
        <v>45.753331985630169</v>
      </c>
    </row>
    <row r="24" spans="1:18" x14ac:dyDescent="0.25">
      <c r="A24" s="27">
        <f>IF('E-Barrows'!A24&lt;'Adj-Barrows'!$B$10,'E-Barrows'!B24," ")</f>
        <v>12.196669027008266</v>
      </c>
      <c r="B24" s="25">
        <f>IF('E-Barrows'!A24&lt;'Adj-Barrows'!$B$10,'E-Barrows'!A24," ")</f>
        <v>42</v>
      </c>
      <c r="C24" s="25">
        <f>IF('E-Barrows'!A24&lt;'Adj-Barrows'!$B$10,'E-Barrows'!C24," ")</f>
        <v>459.72401792077198</v>
      </c>
      <c r="D24" s="27">
        <f>IF('E-Barrows'!A24&lt;'Adj-Barrows'!$B$10,'E-Barrows'!G24," ")</f>
        <v>7.3517295206645121</v>
      </c>
      <c r="E24" s="26">
        <f>IF('E-Barrows'!A24&lt;'Adj-Barrows'!$B$10,'E-Barrows'!D24," ")</f>
        <v>0.75830349357629412</v>
      </c>
      <c r="F24" s="26"/>
      <c r="G24" s="216">
        <f t="shared" si="1"/>
        <v>42</v>
      </c>
      <c r="H24" s="27">
        <f>IF('E-Barrows'!A24&lt;'Adj-Barrows'!$B$10,'E-Barrows'!I24," ")</f>
        <v>21.475903796150448</v>
      </c>
      <c r="I24" s="217">
        <f>IF('E-Barrows'!A24&lt;'Adj-Barrows'!$B$10,'E-Barrows'!A24," ")</f>
        <v>42</v>
      </c>
      <c r="J24" s="25">
        <f>IF('E-Barrows'!A24&lt;'Adj-Barrows'!$B$10,'E-Barrows'!J24," ")</f>
        <v>722.54150539165175</v>
      </c>
      <c r="K24" s="27">
        <f>IF('E-Barrows'!A24&lt;'Adj-Barrows'!$B$10,'E-Barrows'!N24," ")</f>
        <v>18.431275805457695</v>
      </c>
      <c r="L24" s="26">
        <f>IF('E-Barrows'!A24&lt;'Adj-Barrows'!$B$10,'E-Barrows'!K24," ")</f>
        <v>0.47538205662424921</v>
      </c>
      <c r="M24" s="27">
        <f>IF('E-Barrows'!A24&lt;'Adj-Barrows'!$B$10,'E-Barrows'!M24," ")</f>
        <v>1.519917496513256</v>
      </c>
      <c r="N24" s="29">
        <f>IF('E-Barrows'!A24&lt;'Adj-Barrows'!$B$10,1/L24," ")</f>
        <v>2.10357119303394</v>
      </c>
      <c r="O24" s="19"/>
      <c r="P24" s="30">
        <f t="shared" si="2"/>
        <v>1.5929313480111047</v>
      </c>
      <c r="Q24" s="30">
        <f t="shared" si="3"/>
        <v>3.3508444961568822</v>
      </c>
      <c r="R24" s="30">
        <f t="shared" si="4"/>
        <v>47.346263333641275</v>
      </c>
    </row>
    <row r="25" spans="1:18" x14ac:dyDescent="0.25">
      <c r="A25" s="27">
        <f>IF('E-Barrows'!A25&lt;'Adj-Barrows'!$B$10,'E-Barrows'!B25," ")</f>
        <v>12.666687036813169</v>
      </c>
      <c r="B25" s="25">
        <f>IF('E-Barrows'!A25&lt;'Adj-Barrows'!$B$10,'E-Barrows'!A25," ")</f>
        <v>43</v>
      </c>
      <c r="C25" s="25">
        <f>IF('E-Barrows'!A25&lt;'Adj-Barrows'!$B$10,'E-Barrows'!C25," ")</f>
        <v>470.01800980490316</v>
      </c>
      <c r="D25" s="27">
        <f>IF('E-Barrows'!A25&lt;'Adj-Barrows'!$B$10,'E-Barrows'!G25," ")</f>
        <v>7.9792683794280821</v>
      </c>
      <c r="E25" s="26">
        <f>IF('E-Barrows'!A25&lt;'Adj-Barrows'!$B$10,'E-Barrows'!D25," ")</f>
        <v>0.74898630298524072</v>
      </c>
      <c r="F25" s="26"/>
      <c r="G25" s="216">
        <f t="shared" si="1"/>
        <v>43</v>
      </c>
      <c r="H25" s="27">
        <f>IF('E-Barrows'!A25&lt;'Adj-Barrows'!$B$10,'E-Barrows'!I25," ")</f>
        <v>22.214624217810361</v>
      </c>
      <c r="I25" s="217">
        <f>IF('E-Barrows'!A25&lt;'Adj-Barrows'!$B$10,'E-Barrows'!A25," ")</f>
        <v>43</v>
      </c>
      <c r="J25" s="25">
        <f>IF('E-Barrows'!A25&lt;'Adj-Barrows'!$B$10,'E-Barrows'!J25," ")</f>
        <v>738.72042165991468</v>
      </c>
      <c r="K25" s="27">
        <f>IF('E-Barrows'!A25&lt;'Adj-Barrows'!$B$10,'E-Barrows'!N25," ")</f>
        <v>20.004557541680771</v>
      </c>
      <c r="L25" s="26">
        <f>IF('E-Barrows'!A25&lt;'Adj-Barrows'!$B$10,'E-Barrows'!K25," ")</f>
        <v>0.4695410902266845</v>
      </c>
      <c r="M25" s="27">
        <f>IF('E-Barrows'!A25&lt;'Adj-Barrows'!$B$10,'E-Barrows'!M25," ")</f>
        <v>1.5732817362230771</v>
      </c>
      <c r="N25" s="29">
        <f>IF('E-Barrows'!A25&lt;'Adj-Barrows'!$B$10,1/L25," ")</f>
        <v>2.1297390597215275</v>
      </c>
      <c r="O25" s="19"/>
      <c r="P25" s="30">
        <f t="shared" si="2"/>
        <v>1.6285997528131142</v>
      </c>
      <c r="Q25" s="30">
        <f t="shared" si="3"/>
        <v>3.4684925062189143</v>
      </c>
      <c r="R25" s="30">
        <f t="shared" si="4"/>
        <v>48.974863086454384</v>
      </c>
    </row>
    <row r="26" spans="1:18" x14ac:dyDescent="0.25">
      <c r="A26" s="27">
        <f>IF('E-Barrows'!A26&lt;'Adj-Barrows'!$B$10,'E-Barrows'!B26," ")</f>
        <v>13.147229538247222</v>
      </c>
      <c r="B26" s="25">
        <f>IF('E-Barrows'!A26&lt;'Adj-Barrows'!$B$10,'E-Barrows'!A26," ")</f>
        <v>44</v>
      </c>
      <c r="C26" s="25">
        <f>IF('E-Barrows'!A26&lt;'Adj-Barrows'!$B$10,'E-Barrows'!C26," ")</f>
        <v>480.54250143405318</v>
      </c>
      <c r="D26" s="27">
        <f>IF('E-Barrows'!A26&lt;'Adj-Barrows'!$B$10,'E-Barrows'!G26," ")</f>
        <v>8.6280927672328005</v>
      </c>
      <c r="E26" s="26">
        <f>IF('E-Barrows'!A26&lt;'Adj-Barrows'!$B$10,'E-Barrows'!D26," ")</f>
        <v>0.7406356950606573</v>
      </c>
      <c r="F26" s="26"/>
      <c r="G26" s="216">
        <f t="shared" si="1"/>
        <v>44</v>
      </c>
      <c r="H26" s="27">
        <f>IF('E-Barrows'!A26&lt;'Adj-Barrows'!$B$10,'E-Barrows'!I26," ")</f>
        <v>22.969885828811655</v>
      </c>
      <c r="I26" s="217">
        <f>IF('E-Barrows'!A26&lt;'Adj-Barrows'!$B$10,'E-Barrows'!A26," ")</f>
        <v>44</v>
      </c>
      <c r="J26" s="25">
        <f>IF('E-Barrows'!A26&lt;'Adj-Barrows'!$B$10,'E-Barrows'!J26," ")</f>
        <v>755.26161100129559</v>
      </c>
      <c r="K26" s="27">
        <f>IF('E-Barrows'!A26&lt;'Adj-Barrows'!$B$10,'E-Barrows'!N26," ")</f>
        <v>21.631203517613667</v>
      </c>
      <c r="L26" s="26">
        <f>IF('E-Barrows'!A26&lt;'Adj-Barrows'!$B$10,'E-Barrows'!K26," ")</f>
        <v>0.46430607653773354</v>
      </c>
      <c r="M26" s="27">
        <f>IF('E-Barrows'!A26&lt;'Adj-Barrows'!$B$10,'E-Barrows'!M26," ")</f>
        <v>1.6266459759328964</v>
      </c>
      <c r="N26" s="29">
        <f>IF('E-Barrows'!A26&lt;'Adj-Barrows'!$B$10,1/L26," ")</f>
        <v>2.1537516964172907</v>
      </c>
      <c r="O26" s="19"/>
      <c r="P26" s="30">
        <f t="shared" si="2"/>
        <v>1.6650668330274065</v>
      </c>
      <c r="Q26" s="30">
        <f t="shared" si="3"/>
        <v>3.5861405162809428</v>
      </c>
      <c r="R26" s="30">
        <f t="shared" si="4"/>
        <v>50.639929919481787</v>
      </c>
    </row>
    <row r="27" spans="1:18" x14ac:dyDescent="0.25">
      <c r="A27" s="27">
        <f>IF('E-Barrows'!A27&lt;'Adj-Barrows'!$B$10,'E-Barrows'!B27," ")</f>
        <v>13.638532192331372</v>
      </c>
      <c r="B27" s="25">
        <f>IF('E-Barrows'!A27&lt;'Adj-Barrows'!$B$10,'E-Barrows'!A27," ")</f>
        <v>45</v>
      </c>
      <c r="C27" s="25">
        <f>IF('E-Barrows'!A27&lt;'Adj-Barrows'!$B$10,'E-Barrows'!C27," ")</f>
        <v>491.30265408414965</v>
      </c>
      <c r="D27" s="27">
        <f>IF('E-Barrows'!A27&lt;'Adj-Barrows'!$B$10,'E-Barrows'!G27," ")</f>
        <v>9.2982026840786691</v>
      </c>
      <c r="E27" s="26">
        <f>IF('E-Barrows'!A27&lt;'Adj-Barrows'!$B$10,'E-Barrows'!D27," ")</f>
        <v>0.7331672636582599</v>
      </c>
      <c r="F27" s="26"/>
      <c r="G27" s="216">
        <f t="shared" si="1"/>
        <v>45</v>
      </c>
      <c r="H27" s="27">
        <f>IF('E-Barrows'!A27&lt;'Adj-Barrows'!$B$10,'E-Barrows'!I27," ")</f>
        <v>23.742059014129229</v>
      </c>
      <c r="I27" s="217">
        <f>IF('E-Barrows'!A27&lt;'Adj-Barrows'!$B$10,'E-Barrows'!A27," ")</f>
        <v>45</v>
      </c>
      <c r="J27" s="25">
        <f>IF('E-Barrows'!A27&lt;'Adj-Barrows'!$B$10,'E-Barrows'!J27," ")</f>
        <v>772.1731853175728</v>
      </c>
      <c r="K27" s="27">
        <f>IF('E-Barrows'!A27&lt;'Adj-Barrows'!$B$10,'E-Barrows'!N27," ")</f>
        <v>23.311213733256384</v>
      </c>
      <c r="L27" s="26">
        <f>IF('E-Barrows'!A27&lt;'Adj-Barrows'!$B$10,'E-Barrows'!K27," ")</f>
        <v>0.45962410116783953</v>
      </c>
      <c r="M27" s="27">
        <f>IF('E-Barrows'!A27&lt;'Adj-Barrows'!$B$10,'E-Barrows'!M27," ")</f>
        <v>1.6800102156427188</v>
      </c>
      <c r="N27" s="29">
        <f>IF('E-Barrows'!A27&lt;'Adj-Barrows'!$B$10,1/L27," ")</f>
        <v>2.1756909558466191</v>
      </c>
      <c r="O27" s="19"/>
      <c r="P27" s="30">
        <f t="shared" si="2"/>
        <v>1.702350472336148</v>
      </c>
      <c r="Q27" s="30">
        <f t="shared" si="3"/>
        <v>3.7037885263429779</v>
      </c>
      <c r="R27" s="30">
        <f t="shared" si="4"/>
        <v>52.342280391817937</v>
      </c>
    </row>
    <row r="28" spans="1:18" x14ac:dyDescent="0.25">
      <c r="A28" s="27">
        <f>IF('E-Barrows'!A28&lt;'Adj-Barrows'!$B$10,'E-Barrows'!B28," ")</f>
        <v>14.140835936932101</v>
      </c>
      <c r="B28" s="25">
        <f>IF('E-Barrows'!A28&lt;'Adj-Barrows'!$B$10,'E-Barrows'!A28," ")</f>
        <v>46</v>
      </c>
      <c r="C28" s="25">
        <f>IF('E-Barrows'!A28&lt;'Adj-Barrows'!$B$10,'E-Barrows'!C28," ")</f>
        <v>502.30374460072903</v>
      </c>
      <c r="D28" s="27">
        <f>IF('E-Barrows'!A28&lt;'Adj-Barrows'!$B$10,'E-Barrows'!G28," ")</f>
        <v>9.9895981299656853</v>
      </c>
      <c r="E28" s="26">
        <f>IF('E-Barrows'!A28&lt;'Adj-Barrows'!$B$10,'E-Barrows'!D28," ")</f>
        <v>0.72650716400988924</v>
      </c>
      <c r="F28" s="26"/>
      <c r="G28" s="216">
        <f t="shared" si="1"/>
        <v>46</v>
      </c>
      <c r="H28" s="27">
        <f>IF('E-Barrows'!A28&lt;'Adj-Barrows'!$B$10,'E-Barrows'!I28," ")</f>
        <v>24.531522452278814</v>
      </c>
      <c r="I28" s="217">
        <f>IF('E-Barrows'!A28&lt;'Adj-Barrows'!$B$10,'E-Barrows'!A28," ")</f>
        <v>46</v>
      </c>
      <c r="J28" s="25">
        <f>IF('E-Barrows'!A28&lt;'Adj-Barrows'!$B$10,'E-Barrows'!J28," ")</f>
        <v>789.46343814958595</v>
      </c>
      <c r="K28" s="27">
        <f>IF('E-Barrows'!A28&lt;'Adj-Barrows'!$B$10,'E-Barrows'!N28," ")</f>
        <v>25.04458818860892</v>
      </c>
      <c r="L28" s="26">
        <f>IF('E-Barrows'!A28&lt;'Adj-Barrows'!$B$10,'E-Barrows'!K28," ")</f>
        <v>0.45544887067637357</v>
      </c>
      <c r="M28" s="27">
        <f>IF('E-Barrows'!A28&lt;'Adj-Barrows'!$B$10,'E-Barrows'!M28," ")</f>
        <v>1.7333744553525345</v>
      </c>
      <c r="N28" s="29">
        <f>IF('E-Barrows'!A28&lt;'Adj-Barrows'!$B$10,1/L28," ")</f>
        <v>2.1956361391673442</v>
      </c>
      <c r="O28" s="19"/>
      <c r="P28" s="30">
        <f t="shared" si="2"/>
        <v>1.7404689548670891</v>
      </c>
      <c r="Q28" s="30">
        <f t="shared" si="3"/>
        <v>3.821436536404998</v>
      </c>
      <c r="R28" s="30">
        <f t="shared" si="4"/>
        <v>54.082749346685027</v>
      </c>
    </row>
    <row r="29" spans="1:18" x14ac:dyDescent="0.25">
      <c r="A29" s="27">
        <f>IF('E-Barrows'!A29&lt;'Adj-Barrows'!$B$10,'E-Barrows'!B29," ")</f>
        <v>14.654387104918877</v>
      </c>
      <c r="B29" s="25">
        <f>IF('E-Barrows'!A29&lt;'Adj-Barrows'!$B$10,'E-Barrows'!A29," ")</f>
        <v>47</v>
      </c>
      <c r="C29" s="25">
        <f>IF('E-Barrows'!A29&lt;'Adj-Barrows'!$B$10,'E-Barrows'!C29," ")</f>
        <v>513.55116798677614</v>
      </c>
      <c r="D29" s="27">
        <f>IF('E-Barrows'!A29&lt;'Adj-Barrows'!$B$10,'E-Barrows'!G29," ")</f>
        <v>10.705471934250024</v>
      </c>
      <c r="E29" s="26">
        <f>IF('E-Barrows'!A29&lt;'Adj-Barrows'!$B$10,'E-Barrows'!D29," ")</f>
        <v>0.71737667297405072</v>
      </c>
      <c r="F29" s="26"/>
      <c r="G29" s="216">
        <f t="shared" si="1"/>
        <v>47</v>
      </c>
      <c r="H29" s="27">
        <f>IF('E-Barrows'!A29&lt;'Adj-Barrows'!$B$10,'E-Barrows'!I29," ")</f>
        <v>25.33866330102332</v>
      </c>
      <c r="I29" s="217">
        <f>IF('E-Barrows'!A29&lt;'Adj-Barrows'!$B$10,'E-Barrows'!A29," ")</f>
        <v>47</v>
      </c>
      <c r="J29" s="25">
        <f>IF('E-Barrows'!A29&lt;'Adj-Barrows'!$B$10,'E-Barrows'!J29," ")</f>
        <v>807.14084874450566</v>
      </c>
      <c r="K29" s="27">
        <f>IF('E-Barrows'!A29&lt;'Adj-Barrows'!$B$10,'E-Barrows'!N29," ")</f>
        <v>26.839331519627752</v>
      </c>
      <c r="L29" s="26">
        <f>IF('E-Barrows'!A29&lt;'Adj-Barrows'!$B$10,'E-Barrows'!K29," ")</f>
        <v>0.44972494662304274</v>
      </c>
      <c r="M29" s="27">
        <f>IF('E-Barrows'!A29&lt;'Adj-Barrows'!$B$10,'E-Barrows'!M29," ")</f>
        <v>1.7947433310188308</v>
      </c>
      <c r="N29" s="29">
        <f>IF('E-Barrows'!A29&lt;'Adj-Barrows'!$B$10,1/L29," ")</f>
        <v>2.2235813412374368</v>
      </c>
      <c r="O29" s="19"/>
      <c r="P29" s="30">
        <f t="shared" si="2"/>
        <v>1.7794409741603583</v>
      </c>
      <c r="Q29" s="30">
        <f t="shared" si="3"/>
        <v>3.9567317479763395</v>
      </c>
      <c r="R29" s="30">
        <f t="shared" si="4"/>
        <v>55.862190320845386</v>
      </c>
    </row>
    <row r="30" spans="1:18" x14ac:dyDescent="0.25">
      <c r="A30" s="27">
        <f>IF('E-Barrows'!A30&lt;'Adj-Barrows'!$B$10,'E-Barrows'!B30," ")</f>
        <v>15.179437544967294</v>
      </c>
      <c r="B30" s="25">
        <f>IF('E-Barrows'!A30&lt;'Adj-Barrows'!$B$10,'E-Barrows'!A30," ")</f>
        <v>48</v>
      </c>
      <c r="C30" s="25">
        <f>IF('E-Barrows'!A30&lt;'Adj-Barrows'!$B$10,'E-Barrows'!C30," ")</f>
        <v>525.0504400484175</v>
      </c>
      <c r="D30" s="27">
        <f>IF('E-Barrows'!A30&lt;'Adj-Barrows'!$B$10,'E-Barrows'!G30," ")</f>
        <v>11.445824096931688</v>
      </c>
      <c r="E30" s="26">
        <f>IF('E-Barrows'!A30&lt;'Adj-Barrows'!$B$10,'E-Barrows'!D30," ")</f>
        <v>0.709190121288508</v>
      </c>
      <c r="F30" s="26"/>
      <c r="G30" s="216">
        <f t="shared" si="1"/>
        <v>48</v>
      </c>
      <c r="H30" s="27">
        <f>IF('E-Barrows'!A30&lt;'Adj-Barrows'!$B$10,'E-Barrows'!I30," ")</f>
        <v>26.163877387237353</v>
      </c>
      <c r="I30" s="217">
        <f>IF('E-Barrows'!A30&lt;'Adj-Barrows'!$B$10,'E-Barrows'!A30," ")</f>
        <v>48</v>
      </c>
      <c r="J30" s="25">
        <f>IF('E-Barrows'!A30&lt;'Adj-Barrows'!$B$10,'E-Barrows'!J30," ")</f>
        <v>825.21408621403123</v>
      </c>
      <c r="K30" s="27">
        <f>IF('E-Barrows'!A30&lt;'Adj-Barrows'!$B$10,'E-Barrows'!N30," ")</f>
        <v>28.695443726312881</v>
      </c>
      <c r="L30" s="26">
        <f>IF('E-Barrows'!A30&lt;'Adj-Barrows'!$B$10,'E-Barrows'!K30," ")</f>
        <v>0.44459278013574371</v>
      </c>
      <c r="M30" s="27">
        <f>IF('E-Barrows'!A30&lt;'Adj-Barrows'!$B$10,'E-Barrows'!M30," ")</f>
        <v>1.8561122066851281</v>
      </c>
      <c r="N30" s="29">
        <f>IF('E-Barrows'!A30&lt;'Adj-Barrows'!$B$10,1/L30," ")</f>
        <v>2.2492493011125338</v>
      </c>
      <c r="O30" s="19"/>
      <c r="P30" s="30">
        <f t="shared" si="2"/>
        <v>1.8192856423357191</v>
      </c>
      <c r="Q30" s="30">
        <f t="shared" si="3"/>
        <v>4.0920269595476837</v>
      </c>
      <c r="R30" s="30">
        <f t="shared" si="4"/>
        <v>57.681475963181107</v>
      </c>
    </row>
    <row r="31" spans="1:18" x14ac:dyDescent="0.25">
      <c r="A31" s="27">
        <f>IF('E-Barrows'!A31&lt;'Adj-Barrows'!$B$10,'E-Barrows'!B31," ")</f>
        <v>15.716244745067236</v>
      </c>
      <c r="B31" s="25">
        <f>IF('E-Barrows'!A31&lt;'Adj-Barrows'!$B$10,'E-Barrows'!A31," ")</f>
        <v>49</v>
      </c>
      <c r="C31" s="25">
        <f>IF('E-Barrows'!A31&lt;'Adj-Barrows'!$B$10,'E-Barrows'!C31," ")</f>
        <v>536.8072000999415</v>
      </c>
      <c r="D31" s="27">
        <f>IF('E-Barrows'!A31&lt;'Adj-Barrows'!$B$10,'E-Barrows'!G31," ")</f>
        <v>12.210654618010672</v>
      </c>
      <c r="E31" s="26">
        <f>IF('E-Barrows'!A31&lt;'Adj-Barrows'!$B$10,'E-Barrows'!D31," ")</f>
        <v>0.70186425005979203</v>
      </c>
      <c r="F31" s="26"/>
      <c r="G31" s="216">
        <f t="shared" si="1"/>
        <v>49</v>
      </c>
      <c r="H31" s="27">
        <f>IF('E-Barrows'!A31&lt;'Adj-Barrows'!$B$10,'E-Barrows'!I31," ")</f>
        <v>27.007569401023183</v>
      </c>
      <c r="I31" s="217">
        <f>IF('E-Barrows'!A31&lt;'Adj-Barrows'!$B$10,'E-Barrows'!A31," ")</f>
        <v>49</v>
      </c>
      <c r="J31" s="25">
        <f>IF('E-Barrows'!A31&lt;'Adj-Barrows'!$B$10,'E-Barrows'!J31," ")</f>
        <v>843.69201378583045</v>
      </c>
      <c r="K31" s="27">
        <f>IF('E-Barrows'!A31&lt;'Adj-Barrows'!$B$10,'E-Barrows'!N31," ")</f>
        <v>30.612924808664303</v>
      </c>
      <c r="L31" s="26">
        <f>IF('E-Barrows'!A31&lt;'Adj-Barrows'!$B$10,'E-Barrows'!K31," ")</f>
        <v>0.44000017603887093</v>
      </c>
      <c r="M31" s="27">
        <f>IF('E-Barrows'!A31&lt;'Adj-Barrows'!$B$10,'E-Barrows'!M31," ")</f>
        <v>1.9174810823514221</v>
      </c>
      <c r="N31" s="29">
        <f>IF('E-Barrows'!A31&lt;'Adj-Barrows'!$B$10,1/L31," ")</f>
        <v>2.272726363435948</v>
      </c>
      <c r="O31" s="19"/>
      <c r="P31" s="30">
        <f t="shared" si="2"/>
        <v>1.8600224994653909</v>
      </c>
      <c r="Q31" s="30">
        <f t="shared" si="3"/>
        <v>4.2273221711190203</v>
      </c>
      <c r="R31" s="30">
        <f t="shared" si="4"/>
        <v>59.541498462646494</v>
      </c>
    </row>
    <row r="32" spans="1:18" x14ac:dyDescent="0.25">
      <c r="A32" s="27">
        <f>IF('E-Barrows'!A32&lt;'Adj-Barrows'!$B$10,'E-Barrows'!B32," ")</f>
        <v>16.265071958796579</v>
      </c>
      <c r="B32" s="25">
        <f>IF('E-Barrows'!A32&lt;'Adj-Barrows'!$B$10,'E-Barrows'!A32," ")</f>
        <v>50</v>
      </c>
      <c r="C32" s="25">
        <f>IF('E-Barrows'!A32&lt;'Adj-Barrows'!$B$10,'E-Barrows'!C32," ")</f>
        <v>548.82721372934282</v>
      </c>
      <c r="D32" s="27">
        <f>IF('E-Barrows'!A32&lt;'Adj-Barrows'!$B$10,'E-Barrows'!G32," ")</f>
        <v>12.999963497486975</v>
      </c>
      <c r="E32" s="26">
        <f>IF('E-Barrows'!A32&lt;'Adj-Barrows'!$B$10,'E-Barrows'!D32," ")</f>
        <v>0.69532628860514312</v>
      </c>
      <c r="F32" s="26"/>
      <c r="G32" s="216">
        <f t="shared" si="1"/>
        <v>50</v>
      </c>
      <c r="H32" s="27">
        <f>IF('E-Barrows'!A32&lt;'Adj-Barrows'!$B$10,'E-Barrows'!I32," ")</f>
        <v>27.87015309417329</v>
      </c>
      <c r="I32" s="217">
        <f>IF('E-Barrows'!A32&lt;'Adj-Barrows'!$B$10,'E-Barrows'!A32," ")</f>
        <v>50</v>
      </c>
      <c r="J32" s="25">
        <f>IF('E-Barrows'!A32&lt;'Adj-Barrows'!$B$10,'E-Barrows'!J32," ")</f>
        <v>862.58369315010623</v>
      </c>
      <c r="K32" s="27">
        <f>IF('E-Barrows'!A32&lt;'Adj-Barrows'!$B$10,'E-Barrows'!N32," ")</f>
        <v>32.591774766682015</v>
      </c>
      <c r="L32" s="26">
        <f>IF('E-Barrows'!A32&lt;'Adj-Barrows'!$B$10,'E-Barrows'!K32," ")</f>
        <v>0.43590151423819395</v>
      </c>
      <c r="M32" s="27">
        <f>IF('E-Barrows'!A32&lt;'Adj-Barrows'!$B$10,'E-Barrows'!M32," ")</f>
        <v>1.9788499580177097</v>
      </c>
      <c r="N32" s="29">
        <f>IF('E-Barrows'!A32&lt;'Adj-Barrows'!$B$10,1/L32," ")</f>
        <v>2.2940961830510185</v>
      </c>
      <c r="O32" s="19"/>
      <c r="P32" s="30">
        <f t="shared" si="2"/>
        <v>1.9016715231565871</v>
      </c>
      <c r="Q32" s="30">
        <f t="shared" si="3"/>
        <v>4.3626173826903427</v>
      </c>
      <c r="R32" s="30">
        <f t="shared" si="4"/>
        <v>61.443169985803088</v>
      </c>
    </row>
    <row r="33" spans="1:18" x14ac:dyDescent="0.25">
      <c r="A33" s="27">
        <f>IF('E-Barrows'!A33&lt;'Adj-Barrows'!$B$10,'E-Barrows'!B33," ")</f>
        <v>16.826188334422383</v>
      </c>
      <c r="B33" s="25">
        <f>IF('E-Barrows'!A33&lt;'Adj-Barrows'!$B$10,'E-Barrows'!A33," ")</f>
        <v>51</v>
      </c>
      <c r="C33" s="25">
        <f>IF('E-Barrows'!A33&lt;'Adj-Barrows'!$B$10,'E-Barrows'!C33," ")</f>
        <v>561.11637562580438</v>
      </c>
      <c r="D33" s="27">
        <f>IF('E-Barrows'!A33&lt;'Adj-Barrows'!$B$10,'E-Barrows'!G33," ")</f>
        <v>13.813750735360605</v>
      </c>
      <c r="E33" s="26">
        <f>IF('E-Barrows'!A33&lt;'Adj-Barrows'!$B$10,'E-Barrows'!D33," ")</f>
        <v>0.68951238052339492</v>
      </c>
      <c r="F33" s="26"/>
      <c r="G33" s="216">
        <f t="shared" si="1"/>
        <v>51</v>
      </c>
      <c r="H33" s="27">
        <f>IF('E-Barrows'!A33&lt;'Adj-Barrows'!$B$10,'E-Barrows'!I33," ")</f>
        <v>28.752051483076798</v>
      </c>
      <c r="I33" s="217">
        <f>IF('E-Barrows'!A33&lt;'Adj-Barrows'!$B$10,'E-Barrows'!A33," ")</f>
        <v>51</v>
      </c>
      <c r="J33" s="25">
        <f>IF('E-Barrows'!A33&lt;'Adj-Barrows'!$B$10,'E-Barrows'!J33," ")</f>
        <v>881.89838890350791</v>
      </c>
      <c r="K33" s="27">
        <f>IF('E-Barrows'!A33&lt;'Adj-Barrows'!$B$10,'E-Barrows'!N33," ")</f>
        <v>34.631993600366023</v>
      </c>
      <c r="L33" s="26">
        <f>IF('E-Barrows'!A33&lt;'Adj-Barrows'!$B$10,'E-Barrows'!K33," ")</f>
        <v>0.43225676302138089</v>
      </c>
      <c r="M33" s="27">
        <f>IF('E-Barrows'!A33&lt;'Adj-Barrows'!$B$10,'E-Barrows'!M33," ")</f>
        <v>2.0402188336840115</v>
      </c>
      <c r="N33" s="29">
        <f>IF('E-Barrows'!A33&lt;'Adj-Barrows'!$B$10,1/L33," ")</f>
        <v>2.3134398014046496</v>
      </c>
      <c r="O33" s="19"/>
      <c r="P33" s="30">
        <f t="shared" si="2"/>
        <v>1.9442531383486628</v>
      </c>
      <c r="Q33" s="30">
        <f t="shared" si="3"/>
        <v>4.4979125942616971</v>
      </c>
      <c r="R33" s="30">
        <f t="shared" si="4"/>
        <v>63.387423124151759</v>
      </c>
    </row>
    <row r="34" spans="1:18" x14ac:dyDescent="0.25">
      <c r="A34" s="27">
        <f>IF('E-Barrows'!A34&lt;'Adj-Barrows'!$B$10,'E-Barrows'!B34," ")</f>
        <v>17.399869046892867</v>
      </c>
      <c r="B34" s="25">
        <f>IF('E-Barrows'!A34&lt;'Adj-Barrows'!$B$10,'E-Barrows'!A34," ")</f>
        <v>52</v>
      </c>
      <c r="C34" s="25">
        <f>IF('E-Barrows'!A34&lt;'Adj-Barrows'!$B$10,'E-Barrows'!C34," ")</f>
        <v>573.68071247048397</v>
      </c>
      <c r="D34" s="27">
        <f>IF('E-Barrows'!A34&lt;'Adj-Barrows'!$B$10,'E-Barrows'!G34," ")</f>
        <v>14.652016331631556</v>
      </c>
      <c r="E34" s="26">
        <f>IF('E-Barrows'!A34&lt;'Adj-Barrows'!$B$10,'E-Barrows'!D34," ")</f>
        <v>0.68436628560508661</v>
      </c>
      <c r="F34" s="26"/>
      <c r="G34" s="216">
        <f t="shared" si="1"/>
        <v>52</v>
      </c>
      <c r="H34" s="27">
        <f>IF('E-Barrows'!A34&lt;'Adj-Barrows'!$B$10,'E-Barrows'!I34," ")</f>
        <v>29.653697056169335</v>
      </c>
      <c r="I34" s="217">
        <f>IF('E-Barrows'!A34&lt;'Adj-Barrows'!$B$10,'E-Barrows'!A34," ")</f>
        <v>52</v>
      </c>
      <c r="J34" s="25">
        <f>IF('E-Barrows'!A34&lt;'Adj-Barrows'!$B$10,'E-Barrows'!J34," ")</f>
        <v>901.64557309253826</v>
      </c>
      <c r="K34" s="27">
        <f>IF('E-Barrows'!A34&lt;'Adj-Barrows'!$B$10,'E-Barrows'!N34," ")</f>
        <v>36.733581309716328</v>
      </c>
      <c r="L34" s="26">
        <f>IF('E-Barrows'!A34&lt;'Adj-Barrows'!$B$10,'E-Barrows'!K34," ")</f>
        <v>0.42903066528271488</v>
      </c>
      <c r="M34" s="27">
        <f>IF('E-Barrows'!A34&lt;'Adj-Barrows'!$B$10,'E-Barrows'!M34," ")</f>
        <v>2.101587709350305</v>
      </c>
      <c r="N34" s="29">
        <f>IF('E-Barrows'!A34&lt;'Adj-Barrows'!$B$10,1/L34," ")</f>
        <v>2.3308357208943051</v>
      </c>
      <c r="O34" s="19"/>
      <c r="P34" s="30">
        <f t="shared" si="2"/>
        <v>1.9877882273296137</v>
      </c>
      <c r="Q34" s="30">
        <f t="shared" si="3"/>
        <v>4.6332078058330328</v>
      </c>
      <c r="R34" s="30">
        <f t="shared" si="4"/>
        <v>65.375211351481354</v>
      </c>
    </row>
    <row r="35" spans="1:18" x14ac:dyDescent="0.25">
      <c r="A35" s="27">
        <f>IF('E-Barrows'!A35&lt;'Adj-Barrows'!$B$10,'E-Barrows'!B35," ")</f>
        <v>17.986395432784896</v>
      </c>
      <c r="B35" s="25">
        <f>IF('E-Barrows'!A35&lt;'Adj-Barrows'!$B$10,'E-Barrows'!A35," ")</f>
        <v>53</v>
      </c>
      <c r="C35" s="25">
        <f>IF('E-Barrows'!A35&lt;'Adj-Barrows'!$B$10,'E-Barrows'!C35," ")</f>
        <v>586.52638589202866</v>
      </c>
      <c r="D35" s="27">
        <f>IF('E-Barrows'!A35&lt;'Adj-Barrows'!$B$10,'E-Barrows'!G35," ")</f>
        <v>15.514760286299824</v>
      </c>
      <c r="E35" s="26">
        <f>IF('E-Barrows'!A35&lt;'Adj-Barrows'!$B$10,'E-Barrows'!D35," ")</f>
        <v>0.67983830279929724</v>
      </c>
      <c r="F35" s="26"/>
      <c r="G35" s="216">
        <f t="shared" si="1"/>
        <v>53</v>
      </c>
      <c r="H35" s="27">
        <f>IF('E-Barrows'!A35&lt;'Adj-Barrows'!$B$10,'E-Barrows'!I35," ")</f>
        <v>30.575531986028029</v>
      </c>
      <c r="I35" s="217">
        <f>IF('E-Barrows'!A35&lt;'Adj-Barrows'!$B$10,'E-Barrows'!A35," ")</f>
        <v>53</v>
      </c>
      <c r="J35" s="25">
        <f>IF('E-Barrows'!A35&lt;'Adj-Barrows'!$B$10,'E-Barrows'!J35," ")</f>
        <v>921.8349298586927</v>
      </c>
      <c r="K35" s="27">
        <f>IF('E-Barrows'!A35&lt;'Adj-Barrows'!$B$10,'E-Barrows'!N35," ")</f>
        <v>38.896537894732916</v>
      </c>
      <c r="L35" s="26">
        <f>IF('E-Barrows'!A35&lt;'Adj-Barrows'!$B$10,'E-Barrows'!K35," ")</f>
        <v>0.4261920633287351</v>
      </c>
      <c r="M35" s="27">
        <f>IF('E-Barrows'!A35&lt;'Adj-Barrows'!$B$10,'E-Barrows'!M35," ")</f>
        <v>2.1629565850165844</v>
      </c>
      <c r="N35" s="29">
        <f>IF('E-Barrows'!A35&lt;'Adj-Barrows'!$B$10,1/L35," ")</f>
        <v>2.3463599772121264</v>
      </c>
      <c r="O35" s="19"/>
      <c r="P35" s="30">
        <f t="shared" si="2"/>
        <v>2.0322981399768532</v>
      </c>
      <c r="Q35" s="30">
        <f t="shared" si="3"/>
        <v>4.7685030174043366</v>
      </c>
      <c r="R35" s="30">
        <f t="shared" si="4"/>
        <v>67.407509491458214</v>
      </c>
    </row>
    <row r="36" spans="1:18" x14ac:dyDescent="0.25">
      <c r="A36" s="27">
        <f>IF('E-Barrows'!A36&lt;'Adj-Barrows'!$B$10,'E-Barrows'!B36," ")</f>
        <v>18.586055128273212</v>
      </c>
      <c r="B36" s="25">
        <f>IF('E-Barrows'!A36&lt;'Adj-Barrows'!$B$10,'E-Barrows'!A36," ")</f>
        <v>54</v>
      </c>
      <c r="C36" s="25">
        <f>IF('E-Barrows'!A36&lt;'Adj-Barrows'!$B$10,'E-Barrows'!C36," ")</f>
        <v>599.65969548831663</v>
      </c>
      <c r="D36" s="27">
        <f>IF('E-Barrows'!A36&lt;'Adj-Barrows'!$B$10,'E-Barrows'!G36," ")</f>
        <v>16.401982599365418</v>
      </c>
      <c r="E36" s="26">
        <f>IF('E-Barrows'!A36&lt;'Adj-Barrows'!$B$10,'E-Barrows'!D36," ")</f>
        <v>0.67588437154643721</v>
      </c>
      <c r="F36" s="26"/>
      <c r="G36" s="216">
        <f t="shared" si="1"/>
        <v>54</v>
      </c>
      <c r="H36" s="27">
        <f>IF('E-Barrows'!A36&lt;'Adj-Barrows'!$B$10,'E-Barrows'!I36," ")</f>
        <v>31.518008346215716</v>
      </c>
      <c r="I36" s="217">
        <f>IF('E-Barrows'!A36&lt;'Adj-Barrows'!$B$10,'E-Barrows'!A36," ")</f>
        <v>54</v>
      </c>
      <c r="J36" s="25">
        <f>IF('E-Barrows'!A36&lt;'Adj-Barrows'!$B$10,'E-Barrows'!J36," ")</f>
        <v>942.47636018768605</v>
      </c>
      <c r="K36" s="27">
        <f>IF('E-Barrows'!A36&lt;'Adj-Barrows'!$B$10,'E-Barrows'!N36," ")</f>
        <v>41.120863355415807</v>
      </c>
      <c r="L36" s="26">
        <f>IF('E-Barrows'!A36&lt;'Adj-Barrows'!$B$10,'E-Barrows'!K36," ")</f>
        <v>0.4237133355018714</v>
      </c>
      <c r="M36" s="27">
        <f>IF('E-Barrows'!A36&lt;'Adj-Barrows'!$B$10,'E-Barrows'!M36," ")</f>
        <v>2.2243254606828948</v>
      </c>
      <c r="N36" s="29">
        <f>IF('E-Barrows'!A36&lt;'Adj-Barrows'!$B$10,1/L36," ")</f>
        <v>2.3600862097378648</v>
      </c>
      <c r="O36" s="19"/>
      <c r="P36" s="30">
        <f t="shared" si="2"/>
        <v>2.0778047042274674</v>
      </c>
      <c r="Q36" s="30">
        <f t="shared" si="3"/>
        <v>4.9037982289757096</v>
      </c>
      <c r="R36" s="30">
        <f t="shared" si="4"/>
        <v>69.485314195685689</v>
      </c>
    </row>
    <row r="37" spans="1:18" x14ac:dyDescent="0.25">
      <c r="A37" s="27">
        <f>IF('E-Barrows'!A37&lt;'Adj-Barrows'!$B$10,'E-Barrows'!B37," ")</f>
        <v>19.199142210188967</v>
      </c>
      <c r="B37" s="25">
        <f>IF('E-Barrows'!A37&lt;'Adj-Barrows'!$B$10,'E-Barrows'!A37," ")</f>
        <v>55</v>
      </c>
      <c r="C37" s="25">
        <f>IF('E-Barrows'!A37&lt;'Adj-Barrows'!$B$10,'E-Barrows'!C37," ")</f>
        <v>613.08708191575431</v>
      </c>
      <c r="D37" s="27">
        <f>IF('E-Barrows'!A37&lt;'Adj-Barrows'!$B$10,'E-Barrows'!G37," ")</f>
        <v>17.315811823732449</v>
      </c>
      <c r="E37" s="26">
        <f>IF('E-Barrows'!A37&lt;'Adj-Barrows'!$B$10,'E-Barrows'!D37," ")</f>
        <v>0.67089896620499545</v>
      </c>
      <c r="F37" s="26"/>
      <c r="G37" s="216">
        <f t="shared" si="1"/>
        <v>55</v>
      </c>
      <c r="H37" s="27">
        <f>IF('E-Barrows'!A37&lt;'Adj-Barrows'!$B$10,'E-Barrows'!I37," ")</f>
        <v>32.481588332980571</v>
      </c>
      <c r="I37" s="217">
        <f>IF('E-Barrows'!A37&lt;'Adj-Barrows'!$B$10,'E-Barrows'!A37," ")</f>
        <v>55</v>
      </c>
      <c r="J37" s="25">
        <f>IF('E-Barrows'!A37&lt;'Adj-Barrows'!$B$10,'E-Barrows'!J37," ")</f>
        <v>963.57998676485624</v>
      </c>
      <c r="K37" s="27">
        <f>IF('E-Barrows'!A37&lt;'Adj-Barrows'!$B$10,'E-Barrows'!N37," ")</f>
        <v>43.411894115735976</v>
      </c>
      <c r="L37" s="26">
        <f>IF('E-Barrows'!A37&lt;'Adj-Barrows'!$B$10,'E-Barrows'!K37," ")</f>
        <v>0.42058797439725237</v>
      </c>
      <c r="M37" s="27">
        <f>IF('E-Barrows'!A37&lt;'Adj-Barrows'!$B$10,'E-Barrows'!M37," ")</f>
        <v>2.2910307603201674</v>
      </c>
      <c r="N37" s="29">
        <f>IF('E-Barrows'!A37&lt;'Adj-Barrows'!$B$10,1/L37," ")</f>
        <v>2.3776238524962752</v>
      </c>
      <c r="O37" s="19"/>
      <c r="P37" s="30">
        <f t="shared" si="2"/>
        <v>2.1243302367825461</v>
      </c>
      <c r="Q37" s="30">
        <f t="shared" si="3"/>
        <v>5.0508582415532421</v>
      </c>
      <c r="R37" s="30">
        <f t="shared" si="4"/>
        <v>71.60964443246823</v>
      </c>
    </row>
    <row r="38" spans="1:18" x14ac:dyDescent="0.25">
      <c r="A38" s="27">
        <f>IF('E-Barrows'!A38&lt;'Adj-Barrows'!$B$10,'E-Barrows'!B38," ")</f>
        <v>19.825957340236837</v>
      </c>
      <c r="B38" s="25">
        <f>IF('E-Barrows'!A38&lt;'Adj-Barrows'!$B$10,'E-Barrows'!A38," ")</f>
        <v>56</v>
      </c>
      <c r="C38" s="25">
        <f>IF('E-Barrows'!A38&lt;'Adj-Barrows'!$B$10,'E-Barrows'!C38," ")</f>
        <v>626.81513004786996</v>
      </c>
      <c r="D38" s="27">
        <f>IF('E-Barrows'!A38&lt;'Adj-Barrows'!$B$10,'E-Barrows'!G38," ")</f>
        <v>18.256247959400916</v>
      </c>
      <c r="E38" s="26">
        <f>IF('E-Barrows'!A38&lt;'Adj-Barrows'!$B$10,'E-Barrows'!D38," ")</f>
        <v>0.66651536055909522</v>
      </c>
      <c r="F38" s="26"/>
      <c r="G38" s="216">
        <f t="shared" si="1"/>
        <v>56</v>
      </c>
      <c r="H38" s="27">
        <f>IF('E-Barrows'!A38&lt;'Adj-Barrows'!$B$10,'E-Barrows'!I38," ")</f>
        <v>33.466744491920053</v>
      </c>
      <c r="I38" s="217">
        <f>IF('E-Barrows'!A38&lt;'Adj-Barrows'!$B$10,'E-Barrows'!A38," ")</f>
        <v>56</v>
      </c>
      <c r="J38" s="25">
        <f>IF('E-Barrows'!A38&lt;'Adj-Barrows'!$B$10,'E-Barrows'!J38," ")</f>
        <v>985.15615893947893</v>
      </c>
      <c r="K38" s="27">
        <f>IF('E-Barrows'!A38&lt;'Adj-Barrows'!$B$10,'E-Barrows'!N38," ")</f>
        <v>45.769630175693415</v>
      </c>
      <c r="L38" s="26">
        <f>IF('E-Barrows'!A38&lt;'Adj-Barrows'!$B$10,'E-Barrows'!K38," ")</f>
        <v>0.41783988278877282</v>
      </c>
      <c r="M38" s="27">
        <f>IF('E-Barrows'!A38&lt;'Adj-Barrows'!$B$10,'E-Barrows'!M38," ")</f>
        <v>2.3577360599574382</v>
      </c>
      <c r="N38" s="29">
        <f>IF('E-Barrows'!A38&lt;'Adj-Barrows'!$B$10,1/L38," ")</f>
        <v>2.3932612495622441</v>
      </c>
      <c r="O38" s="19"/>
      <c r="P38" s="30">
        <f t="shared" si="2"/>
        <v>2.1718975540516232</v>
      </c>
      <c r="Q38" s="30">
        <f t="shared" si="3"/>
        <v>5.1979182541307694</v>
      </c>
      <c r="R38" s="30">
        <f t="shared" si="4"/>
        <v>73.781541986519855</v>
      </c>
    </row>
    <row r="39" spans="1:18" x14ac:dyDescent="0.25">
      <c r="A39" s="27">
        <f>IF('E-Barrows'!A39&lt;'Adj-Barrows'!$B$10,'E-Barrows'!B39," ")</f>
        <v>20.466807912441382</v>
      </c>
      <c r="B39" s="25">
        <f>IF('E-Barrows'!A39&lt;'Adj-Barrows'!$B$10,'E-Barrows'!A39," ")</f>
        <v>57</v>
      </c>
      <c r="C39" s="25">
        <f>IF('E-Barrows'!A39&lt;'Adj-Barrows'!$B$10,'E-Barrows'!C39," ")</f>
        <v>640.85057220454541</v>
      </c>
      <c r="D39" s="27">
        <f>IF('E-Barrows'!A39&lt;'Adj-Barrows'!$B$10,'E-Barrows'!G39," ")</f>
        <v>19.22861238863111</v>
      </c>
      <c r="E39" s="26">
        <f>IF('E-Barrows'!A39&lt;'Adj-Barrows'!$B$10,'E-Barrows'!D39," ")</f>
        <v>0.6590641871915226</v>
      </c>
      <c r="F39" s="26"/>
      <c r="G39" s="216">
        <f t="shared" si="1"/>
        <v>57</v>
      </c>
      <c r="H39" s="27">
        <f>IF('E-Barrows'!A39&lt;'Adj-Barrows'!$B$10,'E-Barrows'!I39," ")</f>
        <v>34.473959949720154</v>
      </c>
      <c r="I39" s="217">
        <f>IF('E-Barrows'!A39&lt;'Adj-Barrows'!$B$10,'E-Barrows'!A39," ")</f>
        <v>57</v>
      </c>
      <c r="J39" s="25">
        <f>IF('E-Barrows'!A39&lt;'Adj-Barrows'!$B$10,'E-Barrows'!J39," ")</f>
        <v>1007.2154578001041</v>
      </c>
      <c r="K39" s="27">
        <f>IF('E-Barrows'!A39&lt;'Adj-Barrows'!$B$10,'E-Barrows'!N39," ")</f>
        <v>48.207412595215587</v>
      </c>
      <c r="L39" s="26">
        <f>IF('E-Barrows'!A39&lt;'Adj-Barrows'!$B$10,'E-Barrows'!K39," ")</f>
        <v>0.41316872651724484</v>
      </c>
      <c r="M39" s="27">
        <f>IF('E-Barrows'!A39&lt;'Adj-Barrows'!$B$10,'E-Barrows'!M39," ")</f>
        <v>2.4377824195221729</v>
      </c>
      <c r="N39" s="29">
        <f>IF('E-Barrows'!A39&lt;'Adj-Barrows'!$B$10,1/L39," ")</f>
        <v>2.4203187119929854</v>
      </c>
      <c r="O39" s="19"/>
      <c r="P39" s="30">
        <f t="shared" si="2"/>
        <v>2.2205299833418803</v>
      </c>
      <c r="Q39" s="30">
        <f t="shared" si="3"/>
        <v>5.3743902692238255</v>
      </c>
      <c r="R39" s="30">
        <f t="shared" si="4"/>
        <v>76.002071969861731</v>
      </c>
    </row>
    <row r="40" spans="1:18" x14ac:dyDescent="0.25">
      <c r="A40" s="27">
        <f>IF('E-Barrows'!A40&lt;'Adj-Barrows'!$B$10,'E-Barrows'!B40," ")</f>
        <v>21.122008203894996</v>
      </c>
      <c r="B40" s="25">
        <f>IF('E-Barrows'!A40&lt;'Adj-Barrows'!$B$10,'E-Barrows'!A40," ")</f>
        <v>58</v>
      </c>
      <c r="C40" s="25">
        <f>IF('E-Barrows'!A40&lt;'Adj-Barrows'!$B$10,'E-Barrows'!C40," ")</f>
        <v>655.20029145361389</v>
      </c>
      <c r="D40" s="27">
        <f>IF('E-Barrows'!A40&lt;'Adj-Barrows'!$B$10,'E-Barrows'!G40," ")</f>
        <v>20.232905111423023</v>
      </c>
      <c r="E40" s="26">
        <f>IF('E-Barrows'!A40&lt;'Adj-Barrows'!$B$10,'E-Barrows'!D40," ")</f>
        <v>0.65239972030482252</v>
      </c>
      <c r="F40" s="26"/>
      <c r="G40" s="216">
        <f t="shared" si="1"/>
        <v>58</v>
      </c>
      <c r="H40" s="27">
        <f>IF('E-Barrows'!A40&lt;'Adj-Barrows'!$B$10,'E-Barrows'!I40," ")</f>
        <v>35.503728651083783</v>
      </c>
      <c r="I40" s="217">
        <f>IF('E-Barrows'!A40&lt;'Adj-Barrows'!$B$10,'E-Barrows'!A40," ")</f>
        <v>58</v>
      </c>
      <c r="J40" s="25">
        <f>IF('E-Barrows'!A40&lt;'Adj-Barrows'!$B$10,'E-Barrows'!J40," ")</f>
        <v>1029.7687013636291</v>
      </c>
      <c r="K40" s="27">
        <f>IF('E-Barrows'!A40&lt;'Adj-Barrows'!$B$10,'E-Barrows'!N40," ")</f>
        <v>50.725241374302485</v>
      </c>
      <c r="L40" s="26">
        <f>IF('E-Barrows'!A40&lt;'Adj-Barrows'!$B$10,'E-Barrows'!K40," ")</f>
        <v>0.40899075819487557</v>
      </c>
      <c r="M40" s="27">
        <f>IF('E-Barrows'!A40&lt;'Adj-Barrows'!$B$10,'E-Barrows'!M40," ")</f>
        <v>2.5178287790869001</v>
      </c>
      <c r="N40" s="29">
        <f>IF('E-Barrows'!A40&lt;'Adj-Barrows'!$B$10,1/L40," ")</f>
        <v>2.4450430234991298</v>
      </c>
      <c r="O40" s="19"/>
      <c r="P40" s="30">
        <f t="shared" si="2"/>
        <v>2.270251374298093</v>
      </c>
      <c r="Q40" s="30">
        <f t="shared" si="3"/>
        <v>5.5508622843168638</v>
      </c>
      <c r="R40" s="30">
        <f t="shared" si="4"/>
        <v>78.27232334415983</v>
      </c>
    </row>
    <row r="41" spans="1:18" x14ac:dyDescent="0.25">
      <c r="A41" s="27">
        <f>IF('E-Barrows'!A41&lt;'Adj-Barrows'!$B$10,'E-Barrows'!B41," ")</f>
        <v>21.791879528881307</v>
      </c>
      <c r="B41" s="25">
        <f>IF('E-Barrows'!A41&lt;'Adj-Barrows'!$B$10,'E-Barrows'!A41," ")</f>
        <v>59</v>
      </c>
      <c r="C41" s="25">
        <f>IF('E-Barrows'!A41&lt;'Adj-Barrows'!$B$10,'E-Barrows'!C41," ")</f>
        <v>669.87132498631036</v>
      </c>
      <c r="D41" s="27">
        <f>IF('E-Barrows'!A41&lt;'Adj-Barrows'!$B$10,'E-Barrows'!G41," ")</f>
        <v>21.269126127776666</v>
      </c>
      <c r="E41" s="26">
        <f>IF('E-Barrows'!A41&lt;'Adj-Barrows'!$B$10,'E-Barrows'!D41," ")</f>
        <v>0.64645603053248279</v>
      </c>
      <c r="F41" s="26"/>
      <c r="G41" s="216">
        <f t="shared" si="1"/>
        <v>59</v>
      </c>
      <c r="H41" s="27">
        <f>IF('E-Barrows'!A41&lt;'Adj-Barrows'!$B$10,'E-Barrows'!I41," ")</f>
        <v>36.556555600964231</v>
      </c>
      <c r="I41" s="217">
        <f>IF('E-Barrows'!A41&lt;'Adj-Barrows'!$B$10,'E-Barrows'!A41," ")</f>
        <v>59</v>
      </c>
      <c r="J41" s="25">
        <f>IF('E-Barrows'!A41&lt;'Adj-Barrows'!$B$10,'E-Barrows'!J41," ")</f>
        <v>1052.8269498804441</v>
      </c>
      <c r="K41" s="27">
        <f>IF('E-Barrows'!A41&lt;'Adj-Barrows'!$B$10,'E-Barrows'!N41," ")</f>
        <v>53.323116512954122</v>
      </c>
      <c r="L41" s="26">
        <f>IF('E-Barrows'!A41&lt;'Adj-Barrows'!$B$10,'E-Barrows'!K41," ")</f>
        <v>0.4052646465629936</v>
      </c>
      <c r="M41" s="27">
        <f>IF('E-Barrows'!A41&lt;'Adj-Barrows'!$B$10,'E-Barrows'!M41," ")</f>
        <v>2.5978751386516383</v>
      </c>
      <c r="N41" s="29">
        <f>IF('E-Barrows'!A41&lt;'Adj-Barrows'!$B$10,1/L41," ")</f>
        <v>2.4675234034868172</v>
      </c>
      <c r="O41" s="19"/>
      <c r="P41" s="30">
        <f t="shared" si="2"/>
        <v>2.3210861105984741</v>
      </c>
      <c r="Q41" s="30">
        <f t="shared" si="3"/>
        <v>5.7273342994099261</v>
      </c>
      <c r="R41" s="30">
        <f t="shared" si="4"/>
        <v>80.593409454758302</v>
      </c>
    </row>
    <row r="42" spans="1:18" x14ac:dyDescent="0.25">
      <c r="A42" s="27">
        <f>IF('E-Barrows'!A42&lt;'Adj-Barrows'!$B$10,'E-Barrows'!B42," ")</f>
        <v>22.476366758624497</v>
      </c>
      <c r="B42" s="25">
        <f>IF('E-Barrows'!A42&lt;'Adj-Barrows'!$B$10,'E-Barrows'!A42," ")</f>
        <v>60</v>
      </c>
      <c r="C42" s="25">
        <f>IF('E-Barrows'!A42&lt;'Adj-Barrows'!$B$10,'E-Barrows'!C42," ")</f>
        <v>684.48722974319048</v>
      </c>
      <c r="D42" s="27">
        <f>IF('E-Barrows'!A42&lt;'Adj-Barrows'!$B$10,'E-Barrows'!G42," ")</f>
        <v>22.330889778979685</v>
      </c>
      <c r="E42" s="26">
        <f>IF('E-Barrows'!A42&lt;'Adj-Barrows'!$B$10,'E-Barrows'!D42," ")</f>
        <v>0.64467005342256645</v>
      </c>
      <c r="F42" s="26"/>
      <c r="G42" s="216">
        <f t="shared" si="1"/>
        <v>60</v>
      </c>
      <c r="H42" s="27">
        <f>IF('E-Barrows'!A42&lt;'Adj-Barrows'!$B$10,'E-Barrows'!I42," ")</f>
        <v>37.632354154272008</v>
      </c>
      <c r="I42" s="217">
        <f>IF('E-Barrows'!A42&lt;'Adj-Barrows'!$B$10,'E-Barrows'!A42," ")</f>
        <v>60</v>
      </c>
      <c r="J42" s="25">
        <f>IF('E-Barrows'!A42&lt;'Adj-Barrows'!$B$10,'E-Barrows'!J42," ")</f>
        <v>1075.7985533077795</v>
      </c>
      <c r="K42" s="27">
        <f>IF('E-Barrows'!A42&lt;'Adj-Barrows'!$B$10,'E-Barrows'!N42," ")</f>
        <v>55.985028739257544</v>
      </c>
      <c r="L42" s="26">
        <f>IF('E-Barrows'!A42&lt;'Adj-Barrows'!$B$10,'E-Barrows'!K42," ")</f>
        <v>0.4041450137526636</v>
      </c>
      <c r="M42" s="27">
        <f>IF('E-Barrows'!A42&lt;'Adj-Barrows'!$B$10,'E-Barrows'!M42," ")</f>
        <v>2.6619122263034209</v>
      </c>
      <c r="N42" s="29">
        <f>IF('E-Barrows'!A42&lt;'Adj-Barrows'!$B$10,1/L42," ")</f>
        <v>2.4743593659972731</v>
      </c>
      <c r="O42" s="19"/>
      <c r="P42" s="30">
        <f t="shared" si="2"/>
        <v>2.3717298271745166</v>
      </c>
      <c r="Q42" s="30">
        <f t="shared" si="3"/>
        <v>5.8685119114843589</v>
      </c>
      <c r="R42" s="30">
        <f t="shared" si="4"/>
        <v>82.965139281932821</v>
      </c>
    </row>
    <row r="43" spans="1:18" x14ac:dyDescent="0.25">
      <c r="A43" s="27">
        <f>IF('E-Barrows'!A43&lt;'Adj-Barrows'!$B$10,'E-Barrows'!B43," ")</f>
        <v>23.189952370296691</v>
      </c>
      <c r="B43" s="25">
        <f>IF('E-Barrows'!A43&lt;'Adj-Barrows'!$B$10,'E-Barrows'!A43," ")</f>
        <v>61</v>
      </c>
      <c r="C43" s="25">
        <f>IF('E-Barrows'!A43&lt;'Adj-Barrows'!$B$10,'E-Barrows'!C43," ")</f>
        <v>713.58561167219386</v>
      </c>
      <c r="D43" s="27">
        <f>IF('E-Barrows'!A43&lt;'Adj-Barrows'!$B$10,'E-Barrows'!G43," ")</f>
        <v>23.450267068662782</v>
      </c>
      <c r="E43" s="26">
        <f>IF('E-Barrows'!A43&lt;'Adj-Barrows'!$B$10,'E-Barrows'!D43," ")</f>
        <v>0.63748444626227441</v>
      </c>
      <c r="F43" s="26"/>
      <c r="G43" s="216">
        <f t="shared" si="1"/>
        <v>61</v>
      </c>
      <c r="H43" s="27">
        <f>IF('E-Barrows'!A43&lt;'Adj-Barrows'!$B$10,'E-Barrows'!I43," ")</f>
        <v>38.75388620825381</v>
      </c>
      <c r="I43" s="217">
        <f>IF('E-Barrows'!A43&lt;'Adj-Barrows'!$B$10,'E-Barrows'!A43," ")</f>
        <v>61</v>
      </c>
      <c r="J43" s="25">
        <f>IF('E-Barrows'!A43&lt;'Adj-Barrows'!$B$10,'E-Barrows'!J43," ")</f>
        <v>1121.5320539818006</v>
      </c>
      <c r="K43" s="27">
        <f>IF('E-Barrows'!A43&lt;'Adj-Barrows'!$B$10,'E-Barrows'!N43," ")</f>
        <v>58.791382196430163</v>
      </c>
      <c r="L43" s="26">
        <f>IF('E-Barrows'!A43&lt;'Adj-Barrows'!$B$10,'E-Barrows'!K43," ")</f>
        <v>0.39964034149559208</v>
      </c>
      <c r="M43" s="27">
        <f>IF('E-Barrows'!A43&lt;'Adj-Barrows'!$B$10,'E-Barrows'!M43," ")</f>
        <v>2.8063534571726181</v>
      </c>
      <c r="N43" s="29">
        <f>IF('E-Barrows'!A43&lt;'Adj-Barrows'!$B$10,1/L43," ")</f>
        <v>2.5022498886315003</v>
      </c>
      <c r="O43" s="19"/>
      <c r="P43" s="30">
        <f t="shared" si="2"/>
        <v>2.4725549373367999</v>
      </c>
      <c r="Q43" s="30">
        <f t="shared" si="3"/>
        <v>6.1869503165862731</v>
      </c>
      <c r="R43" s="30">
        <f t="shared" si="4"/>
        <v>85.43769421926963</v>
      </c>
    </row>
    <row r="44" spans="1:18" x14ac:dyDescent="0.25">
      <c r="A44" s="27">
        <f>IF('E-Barrows'!A44&lt;'Adj-Barrows'!$B$10,'E-Barrows'!B44," ")</f>
        <v>23.913713530291634</v>
      </c>
      <c r="B44" s="25">
        <f>IF('E-Barrows'!A44&lt;'Adj-Barrows'!$B$10,'E-Barrows'!A44," ")</f>
        <v>62</v>
      </c>
      <c r="C44" s="25">
        <f>IF('E-Barrows'!A44&lt;'Adj-Barrows'!$B$10,'E-Barrows'!C44," ")</f>
        <v>723.76115999494323</v>
      </c>
      <c r="D44" s="27">
        <f>IF('E-Barrows'!A44&lt;'Adj-Barrows'!$B$10,'E-Barrows'!G44," ")</f>
        <v>24.602499104713875</v>
      </c>
      <c r="E44" s="26">
        <f>IF('E-Barrows'!A44&lt;'Adj-Barrows'!$B$10,'E-Barrows'!D44," ")</f>
        <v>0.62813837608213263</v>
      </c>
      <c r="F44" s="26"/>
      <c r="G44" s="216">
        <f t="shared" si="1"/>
        <v>62</v>
      </c>
      <c r="H44" s="27">
        <f>IF('E-Barrows'!A44&lt;'Adj-Barrows'!$B$10,'E-Barrows'!I44," ")</f>
        <v>39.891411022493294</v>
      </c>
      <c r="I44" s="217">
        <f>IF('E-Barrows'!A44&lt;'Adj-Barrows'!$B$10,'E-Barrows'!A44," ")</f>
        <v>62</v>
      </c>
      <c r="J44" s="25">
        <f>IF('E-Barrows'!A44&lt;'Adj-Barrows'!$B$10,'E-Barrows'!J44," ")</f>
        <v>1137.5248142394819</v>
      </c>
      <c r="K44" s="27">
        <f>IF('E-Barrows'!A44&lt;'Adj-Barrows'!$B$10,'E-Barrows'!N44," ")</f>
        <v>61.680104692088868</v>
      </c>
      <c r="L44" s="26">
        <f>IF('E-Barrows'!A44&lt;'Adj-Barrows'!$B$10,'E-Barrows'!K44," ")</f>
        <v>0.39378127042282596</v>
      </c>
      <c r="M44" s="27">
        <f>IF('E-Barrows'!A44&lt;'Adj-Barrows'!$B$10,'E-Barrows'!M44," ")</f>
        <v>2.8887224956587065</v>
      </c>
      <c r="N44" s="29">
        <f>IF('E-Barrows'!A44&lt;'Adj-Barrows'!$B$10,1/L44," ")</f>
        <v>2.539480861865882</v>
      </c>
      <c r="O44" s="19"/>
      <c r="P44" s="30">
        <f t="shared" si="2"/>
        <v>2.5078129383866883</v>
      </c>
      <c r="Q44" s="30">
        <f t="shared" si="3"/>
        <v>6.3685429621726364</v>
      </c>
      <c r="R44" s="30">
        <f t="shared" si="4"/>
        <v>87.945507157656309</v>
      </c>
    </row>
    <row r="45" spans="1:18" x14ac:dyDescent="0.25">
      <c r="A45" s="27">
        <f>IF('E-Barrows'!A45&lt;'Adj-Barrows'!$B$10,'E-Barrows'!B45," ")</f>
        <v>24.647493620409822</v>
      </c>
      <c r="B45" s="25">
        <f>IF('E-Barrows'!A45&lt;'Adj-Barrows'!$B$10,'E-Barrows'!A45," ")</f>
        <v>63</v>
      </c>
      <c r="C45" s="25">
        <f>IF('E-Barrows'!A45&lt;'Adj-Barrows'!$B$10,'E-Barrows'!C45," ")</f>
        <v>733.7800901181879</v>
      </c>
      <c r="D45" s="27">
        <f>IF('E-Barrows'!A45&lt;'Adj-Barrows'!$B$10,'E-Barrows'!G45," ")</f>
        <v>25.787766066496999</v>
      </c>
      <c r="E45" s="26">
        <f>IF('E-Barrows'!A45&lt;'Adj-Barrows'!$B$10,'E-Barrows'!D45," ")</f>
        <v>0.61908423484130748</v>
      </c>
      <c r="F45" s="26"/>
      <c r="G45" s="216">
        <f t="shared" si="1"/>
        <v>63</v>
      </c>
      <c r="H45" s="27">
        <f>IF('E-Barrows'!A45&lt;'Adj-Barrows'!$B$10,'E-Barrows'!I45," ")</f>
        <v>41.044682442460278</v>
      </c>
      <c r="I45" s="217">
        <f>IF('E-Barrows'!A45&lt;'Adj-Barrows'!$B$10,'E-Barrows'!A45," ")</f>
        <v>63</v>
      </c>
      <c r="J45" s="25">
        <f>IF('E-Barrows'!A45&lt;'Adj-Barrows'!$B$10,'E-Barrows'!J45," ")</f>
        <v>1153.2714199669872</v>
      </c>
      <c r="K45" s="27">
        <f>IF('E-Barrows'!A45&lt;'Adj-Barrows'!$B$10,'E-Barrows'!N45," ")</f>
        <v>64.651647947905914</v>
      </c>
      <c r="L45" s="26">
        <f>IF('E-Barrows'!A45&lt;'Adj-Barrows'!$B$10,'E-Barrows'!K45," ")</f>
        <v>0.38810521021673267</v>
      </c>
      <c r="M45" s="27">
        <f>IF('E-Barrows'!A45&lt;'Adj-Barrows'!$B$10,'E-Barrows'!M45," ")</f>
        <v>2.9715432558170414</v>
      </c>
      <c r="N45" s="29">
        <f>IF('E-Barrows'!A45&lt;'Adj-Barrows'!$B$10,1/L45," ")</f>
        <v>2.5766209101948467</v>
      </c>
      <c r="O45" s="19"/>
      <c r="P45" s="30">
        <f t="shared" si="2"/>
        <v>2.54252826159088</v>
      </c>
      <c r="Q45" s="30">
        <f t="shared" si="3"/>
        <v>6.5511314835764134</v>
      </c>
      <c r="R45" s="30">
        <f t="shared" si="4"/>
        <v>90.488035419247183</v>
      </c>
    </row>
    <row r="46" spans="1:18" x14ac:dyDescent="0.25">
      <c r="A46" s="27">
        <f>IF('E-Barrows'!A46&lt;'Adj-Barrows'!$B$10,'E-Barrows'!B46," ")</f>
        <v>25.391133415879338</v>
      </c>
      <c r="B46" s="25">
        <f>IF('E-Barrows'!A46&lt;'Adj-Barrows'!$B$10,'E-Barrows'!A46," ")</f>
        <v>64</v>
      </c>
      <c r="C46" s="25">
        <f>IF('E-Barrows'!A46&lt;'Adj-Barrows'!$B$10,'E-Barrows'!C46," ")</f>
        <v>743.639795469516</v>
      </c>
      <c r="D46" s="27">
        <f>IF('E-Barrows'!A46&lt;'Adj-Barrows'!$B$10,'E-Barrows'!G46," ")</f>
        <v>27.006225743965757</v>
      </c>
      <c r="E46" s="26">
        <f>IF('E-Barrows'!A46&lt;'Adj-Barrows'!$B$10,'E-Barrows'!D46," ")</f>
        <v>0.61031137034781602</v>
      </c>
      <c r="F46" s="26"/>
      <c r="G46" s="216">
        <f t="shared" si="1"/>
        <v>64</v>
      </c>
      <c r="H46" s="27">
        <f>IF('E-Barrows'!A46&lt;'Adj-Barrows'!$B$10,'E-Barrows'!I46," ")</f>
        <v>42.213450216912911</v>
      </c>
      <c r="I46" s="217">
        <f>IF('E-Barrows'!A46&lt;'Adj-Barrows'!$B$10,'E-Barrows'!A46," ")</f>
        <v>64</v>
      </c>
      <c r="J46" s="25">
        <f>IF('E-Barrows'!A46&lt;'Adj-Barrows'!$B$10,'E-Barrows'!J46," ")</f>
        <v>1168.7677744526352</v>
      </c>
      <c r="K46" s="27">
        <f>IF('E-Barrows'!A46&lt;'Adj-Barrows'!$B$10,'E-Barrows'!N46," ")</f>
        <v>67.706407553809612</v>
      </c>
      <c r="L46" s="26">
        <f>IF('E-Barrows'!A46&lt;'Adj-Barrows'!$B$10,'E-Barrows'!K46," ")</f>
        <v>0.38260548299573149</v>
      </c>
      <c r="M46" s="27">
        <f>IF('E-Barrows'!A46&lt;'Adj-Barrows'!$B$10,'E-Barrows'!M46," ")</f>
        <v>3.0547596059036994</v>
      </c>
      <c r="N46" s="29">
        <f>IF('E-Barrows'!A46&lt;'Adj-Barrows'!$B$10,1/L46," ")</f>
        <v>2.6136583097821324</v>
      </c>
      <c r="O46" s="19"/>
      <c r="P46" s="30">
        <f t="shared" si="2"/>
        <v>2.576691875246127</v>
      </c>
      <c r="Q46" s="30">
        <f t="shared" si="3"/>
        <v>6.7345921314851465</v>
      </c>
      <c r="R46" s="30">
        <f t="shared" si="4"/>
        <v>93.064727294493309</v>
      </c>
    </row>
    <row r="47" spans="1:18" x14ac:dyDescent="0.25">
      <c r="A47" s="27">
        <f>IF('E-Barrows'!A47&lt;'Adj-Barrows'!$B$10,'E-Barrows'!B47," ")</f>
        <v>26.144471215718717</v>
      </c>
      <c r="B47" s="25">
        <f>IF('E-Barrows'!A47&lt;'Adj-Barrows'!$B$10,'E-Barrows'!A47," ")</f>
        <v>65</v>
      </c>
      <c r="C47" s="25">
        <f>IF('E-Barrows'!A47&lt;'Adj-Barrows'!$B$10,'E-Barrows'!C47," ")</f>
        <v>753.33779983937893</v>
      </c>
      <c r="D47" s="27">
        <f>IF('E-Barrows'!A47&lt;'Adj-Barrows'!$B$10,'E-Barrows'!G47," ")</f>
        <v>28.258013585055135</v>
      </c>
      <c r="E47" s="26">
        <f>IF('E-Barrows'!A47&lt;'Adj-Barrows'!$B$10,'E-Barrows'!D47," ")</f>
        <v>0.60180948808687984</v>
      </c>
      <c r="F47" s="26"/>
      <c r="G47" s="216">
        <f t="shared" si="1"/>
        <v>65</v>
      </c>
      <c r="H47" s="27">
        <f>IF('E-Barrows'!A47&lt;'Adj-Barrows'!$B$10,'E-Barrows'!I47," ")</f>
        <v>43.397460202787059</v>
      </c>
      <c r="I47" s="217">
        <f>IF('E-Barrows'!A47&lt;'Adj-Barrows'!$B$10,'E-Barrows'!A47," ")</f>
        <v>65</v>
      </c>
      <c r="J47" s="25">
        <f>IF('E-Barrows'!A47&lt;'Adj-Barrows'!$B$10,'E-Barrows'!J47," ")</f>
        <v>1184.0099858741476</v>
      </c>
      <c r="K47" s="27">
        <f>IF('E-Barrows'!A47&lt;'Adj-Barrows'!$B$10,'E-Barrows'!N47," ")</f>
        <v>70.844723086798822</v>
      </c>
      <c r="L47" s="26">
        <f>IF('E-Barrows'!A47&lt;'Adj-Barrows'!$B$10,'E-Barrows'!K47," ")</f>
        <v>0.37727563510683421</v>
      </c>
      <c r="M47" s="27">
        <f>IF('E-Barrows'!A47&lt;'Adj-Barrows'!$B$10,'E-Barrows'!M47," ")</f>
        <v>3.138315532989211</v>
      </c>
      <c r="N47" s="29">
        <f>IF('E-Barrows'!A47&lt;'Adj-Barrows'!$B$10,1/L47," ")</f>
        <v>2.6505819802458941</v>
      </c>
      <c r="O47" s="19"/>
      <c r="P47" s="30">
        <f t="shared" si="2"/>
        <v>2.6102951993529953</v>
      </c>
      <c r="Q47" s="30">
        <f t="shared" si="3"/>
        <v>6.918801418527412</v>
      </c>
      <c r="R47" s="30">
        <f t="shared" si="4"/>
        <v>95.675022493846313</v>
      </c>
    </row>
    <row r="48" spans="1:18" x14ac:dyDescent="0.25">
      <c r="A48" s="27">
        <f>IF('E-Barrows'!A48&lt;'Adj-Barrows'!$B$10,'E-Barrows'!B48," ")</f>
        <v>26.907342972772931</v>
      </c>
      <c r="B48" s="25">
        <f>IF('E-Barrows'!A48&lt;'Adj-Barrows'!$B$10,'E-Barrows'!A48," ")</f>
        <v>66</v>
      </c>
      <c r="C48" s="25">
        <f>IF('E-Barrows'!A48&lt;'Adj-Barrows'!$B$10,'E-Barrows'!C48," ")</f>
        <v>762.87175705421362</v>
      </c>
      <c r="D48" s="27">
        <f>IF('E-Barrows'!A48&lt;'Adj-Barrows'!$B$10,'E-Barrows'!G48," ")</f>
        <v>29.543242785016382</v>
      </c>
      <c r="E48" s="26">
        <f>IF('E-Barrows'!A48&lt;'Adj-Barrows'!$B$10,'E-Barrows'!D48," ")</f>
        <v>0.59356864680417831</v>
      </c>
      <c r="F48" s="26"/>
      <c r="G48" s="216">
        <f t="shared" si="1"/>
        <v>66</v>
      </c>
      <c r="H48" s="27">
        <f>IF('E-Barrows'!A48&lt;'Adj-Barrows'!$B$10,'E-Barrows'!I48," ")</f>
        <v>44.596454569571961</v>
      </c>
      <c r="I48" s="217">
        <f>IF('E-Barrows'!A48&lt;'Adj-Barrows'!$B$10,'E-Barrows'!A48," ")</f>
        <v>66</v>
      </c>
      <c r="J48" s="25">
        <f>IF('E-Barrows'!A48&lt;'Adj-Barrows'!$B$10,'E-Barrows'!J48," ")</f>
        <v>1198.9943667848997</v>
      </c>
      <c r="K48" s="27">
        <f>IF('E-Barrows'!A48&lt;'Adj-Barrows'!$B$10,'E-Barrows'!N48," ")</f>
        <v>74.066878334911422</v>
      </c>
      <c r="L48" s="26">
        <f>IF('E-Barrows'!A48&lt;'Adj-Barrows'!$B$10,'E-Barrows'!K48," ")</f>
        <v>0.37210943435677724</v>
      </c>
      <c r="M48" s="27">
        <f>IF('E-Barrows'!A48&lt;'Adj-Barrows'!$B$10,'E-Barrows'!M48," ")</f>
        <v>3.222155248112597</v>
      </c>
      <c r="N48" s="29">
        <f>IF('E-Barrows'!A48&lt;'Adj-Barrows'!$B$10,1/L48," ")</f>
        <v>2.6873814734866501</v>
      </c>
      <c r="O48" s="19"/>
      <c r="P48" s="30">
        <f t="shared" si="2"/>
        <v>2.6433301044832382</v>
      </c>
      <c r="Q48" s="30">
        <f t="shared" si="3"/>
        <v>7.1036363510977862</v>
      </c>
      <c r="R48" s="30">
        <f t="shared" si="4"/>
        <v>98.318352598329554</v>
      </c>
    </row>
    <row r="49" spans="1:18" x14ac:dyDescent="0.25">
      <c r="A49" s="27">
        <f>IF('E-Barrows'!A49&lt;'Adj-Barrows'!$B$10,'E-Barrows'!B49," ")</f>
        <v>27.679582423326945</v>
      </c>
      <c r="B49" s="25">
        <f>IF('E-Barrows'!A49&lt;'Adj-Barrows'!$B$10,'E-Barrows'!A49," ")</f>
        <v>67</v>
      </c>
      <c r="C49" s="25">
        <f>IF('E-Barrows'!A49&lt;'Adj-Barrows'!$B$10,'E-Barrows'!C49," ")</f>
        <v>772.23945055401441</v>
      </c>
      <c r="D49" s="27">
        <f>IF('E-Barrows'!A49&lt;'Adj-Barrows'!$B$10,'E-Barrows'!G49," ")</f>
        <v>30.862004416768158</v>
      </c>
      <c r="E49" s="26">
        <f>IF('E-Barrows'!A49&lt;'Adj-Barrows'!$B$10,'E-Barrows'!D49," ")</f>
        <v>0.58557925250540643</v>
      </c>
      <c r="F49" s="26"/>
      <c r="G49" s="216">
        <f t="shared" si="1"/>
        <v>67</v>
      </c>
      <c r="H49" s="27">
        <f>IF('E-Barrows'!A49&lt;'Adj-Barrows'!$B$10,'E-Barrows'!I49," ")</f>
        <v>45.810172003021954</v>
      </c>
      <c r="I49" s="217">
        <f>IF('E-Barrows'!A49&lt;'Adj-Barrows'!$B$10,'E-Barrows'!A49," ")</f>
        <v>67</v>
      </c>
      <c r="J49" s="25">
        <f>IF('E-Barrows'!A49&lt;'Adj-Barrows'!$B$10,'E-Barrows'!J49," ")</f>
        <v>1213.7174334499964</v>
      </c>
      <c r="K49" s="27">
        <f>IF('E-Barrows'!A49&lt;'Adj-Barrows'!$B$10,'E-Barrows'!N49," ")</f>
        <v>77.373101624023306</v>
      </c>
      <c r="L49" s="26">
        <f>IF('E-Barrows'!A49&lt;'Adj-Barrows'!$B$10,'E-Barrows'!K49," ")</f>
        <v>0.367100866250332</v>
      </c>
      <c r="M49" s="27">
        <f>IF('E-Barrows'!A49&lt;'Adj-Barrows'!$B$10,'E-Barrows'!M49," ")</f>
        <v>3.3062232891118897</v>
      </c>
      <c r="N49" s="29">
        <f>IF('E-Barrows'!A49&lt;'Adj-Barrows'!$B$10,1/L49," ")</f>
        <v>2.7240469634797426</v>
      </c>
      <c r="O49" s="19"/>
      <c r="P49" s="30">
        <f t="shared" si="2"/>
        <v>2.6757889103160979</v>
      </c>
      <c r="Q49" s="30">
        <f t="shared" si="3"/>
        <v>7.2889746560593371</v>
      </c>
      <c r="R49" s="30">
        <f t="shared" si="4"/>
        <v>100.99414150864564</v>
      </c>
    </row>
    <row r="50" spans="1:18" x14ac:dyDescent="0.25">
      <c r="A50" s="27">
        <f>IF('E-Barrows'!A50&lt;'Adj-Barrows'!$B$10,'E-Barrows'!B50," ")</f>
        <v>28.461021216199708</v>
      </c>
      <c r="B50" s="25">
        <f>IF('E-Barrows'!A50&lt;'Adj-Barrows'!$B$10,'E-Barrows'!A50," ")</f>
        <v>68</v>
      </c>
      <c r="C50" s="25">
        <f>IF('E-Barrows'!A50&lt;'Adj-Barrows'!$B$10,'E-Barrows'!C50," ")</f>
        <v>781.43879287276263</v>
      </c>
      <c r="D50" s="27">
        <f>IF('E-Barrows'!A50&lt;'Adj-Barrows'!$B$10,'E-Barrows'!G50," ")</f>
        <v>32.214367601211762</v>
      </c>
      <c r="E50" s="26">
        <f>IF('E-Barrows'!A50&lt;'Adj-Barrows'!$B$10,'E-Barrows'!D50," ")</f>
        <v>0.57783205122835768</v>
      </c>
      <c r="F50" s="26"/>
      <c r="G50" s="216">
        <f t="shared" si="1"/>
        <v>68</v>
      </c>
      <c r="H50" s="27">
        <f>IF('E-Barrows'!A50&lt;'Adj-Barrows'!$B$10,'E-Barrows'!I50," ")</f>
        <v>47.038347908051627</v>
      </c>
      <c r="I50" s="217">
        <f>IF('E-Barrows'!A50&lt;'Adj-Barrows'!$B$10,'E-Barrows'!A50," ")</f>
        <v>68</v>
      </c>
      <c r="J50" s="25">
        <f>IF('E-Barrows'!A50&lt;'Adj-Barrows'!$B$10,'E-Barrows'!J50," ")</f>
        <v>1228.1759050296714</v>
      </c>
      <c r="K50" s="27">
        <f>IF('E-Barrows'!A50&lt;'Adj-Barrows'!$B$10,'E-Barrows'!N50," ")</f>
        <v>80.763566244840064</v>
      </c>
      <c r="L50" s="26">
        <f>IF('E-Barrows'!A50&lt;'Adj-Barrows'!$B$10,'E-Barrows'!K50," ")</f>
        <v>0.36224412945910833</v>
      </c>
      <c r="M50" s="27">
        <f>IF('E-Barrows'!A50&lt;'Adj-Barrows'!$B$10,'E-Barrows'!M50," ")</f>
        <v>3.3904646208167555</v>
      </c>
      <c r="N50" s="29">
        <f>IF('E-Barrows'!A50&lt;'Adj-Barrows'!$B$10,1/L50," ")</f>
        <v>2.7605692368104595</v>
      </c>
      <c r="O50" s="19"/>
      <c r="P50" s="30">
        <f t="shared" si="2"/>
        <v>2.707664383838007</v>
      </c>
      <c r="Q50" s="30">
        <f t="shared" si="3"/>
        <v>7.4746950016305505</v>
      </c>
      <c r="R50" s="30">
        <f t="shared" si="4"/>
        <v>103.70180589248365</v>
      </c>
    </row>
    <row r="51" spans="1:18" x14ac:dyDescent="0.25">
      <c r="A51" s="27">
        <f>IF('E-Barrows'!A51&lt;'Adj-Barrows'!$B$10,'E-Barrows'!B51," ")</f>
        <v>29.251489041220797</v>
      </c>
      <c r="B51" s="25">
        <f>IF('E-Barrows'!A51&lt;'Adj-Barrows'!$B$10,'E-Barrows'!A51," ")</f>
        <v>69</v>
      </c>
      <c r="C51" s="25">
        <f>IF('E-Barrows'!A51&lt;'Adj-Barrows'!$B$10,'E-Barrows'!C51," ")</f>
        <v>790.46782502108931</v>
      </c>
      <c r="D51" s="27">
        <f>IF('E-Barrows'!A51&lt;'Adj-Barrows'!$B$10,'E-Barrows'!G51," ")</f>
        <v>33.600379716340235</v>
      </c>
      <c r="E51" s="26">
        <f>IF('E-Barrows'!A51&lt;'Adj-Barrows'!$B$10,'E-Barrows'!D51," ")</f>
        <v>0.57031812088296208</v>
      </c>
      <c r="F51" s="26"/>
      <c r="G51" s="216">
        <f t="shared" si="1"/>
        <v>69</v>
      </c>
      <c r="H51" s="27">
        <f>IF('E-Barrows'!A51&lt;'Adj-Barrows'!$B$10,'E-Barrows'!I51," ")</f>
        <v>48.280714610660652</v>
      </c>
      <c r="I51" s="217">
        <f>IF('E-Barrows'!A51&lt;'Adj-Barrows'!$B$10,'E-Barrows'!A51," ")</f>
        <v>69</v>
      </c>
      <c r="J51" s="25">
        <f>IF('E-Barrows'!A51&lt;'Adj-Barrows'!$B$10,'E-Barrows'!J51," ")</f>
        <v>1242.3667026090268</v>
      </c>
      <c r="K51" s="27">
        <f>IF('E-Barrows'!A51&lt;'Adj-Barrows'!$B$10,'E-Barrows'!N51," ")</f>
        <v>84.238390977147347</v>
      </c>
      <c r="L51" s="26">
        <f>IF('E-Barrows'!A51&lt;'Adj-Barrows'!$B$10,'E-Barrows'!K51," ")</f>
        <v>0.35753363070605709</v>
      </c>
      <c r="M51" s="27">
        <f>IF('E-Barrows'!A51&lt;'Adj-Barrows'!$B$10,'E-Barrows'!M51," ")</f>
        <v>3.4748247323072858</v>
      </c>
      <c r="N51" s="29">
        <f>IF('E-Barrows'!A51&lt;'Adj-Barrows'!$B$10,1/L51," ")</f>
        <v>2.7969396837584228</v>
      </c>
      <c r="O51" s="19"/>
      <c r="P51" s="30">
        <f t="shared" si="2"/>
        <v>2.738949737203531</v>
      </c>
      <c r="Q51" s="30">
        <f t="shared" si="3"/>
        <v>7.6606772118042583</v>
      </c>
      <c r="R51" s="30">
        <f t="shared" si="4"/>
        <v>106.44075562968717</v>
      </c>
    </row>
    <row r="52" spans="1:18" x14ac:dyDescent="0.25">
      <c r="A52" s="27">
        <f>IF('E-Barrows'!A52&lt;'Adj-Barrows'!$B$10,'E-Barrows'!B52," ")</f>
        <v>30.050813756991207</v>
      </c>
      <c r="B52" s="25">
        <f>IF('E-Barrows'!A52&lt;'Adj-Barrows'!$B$10,'E-Barrows'!A52," ")</f>
        <v>70</v>
      </c>
      <c r="C52" s="25">
        <f>IF('E-Barrows'!A52&lt;'Adj-Barrows'!$B$10,'E-Barrows'!C52," ")</f>
        <v>799.32471577041042</v>
      </c>
      <c r="D52" s="27">
        <f>IF('E-Barrows'!A52&lt;'Adj-Barrows'!$B$10,'E-Barrows'!G52," ")</f>
        <v>35.02006664385943</v>
      </c>
      <c r="E52" s="26">
        <f>IF('E-Barrows'!A52&lt;'Adj-Barrows'!$B$10,'E-Barrows'!D52," ")</f>
        <v>0.56302886240361127</v>
      </c>
      <c r="F52" s="26"/>
      <c r="G52" s="216">
        <f t="shared" si="1"/>
        <v>70</v>
      </c>
      <c r="H52" s="27">
        <f>IF('E-Barrows'!A52&lt;'Adj-Barrows'!$B$10,'E-Barrows'!I52," ")</f>
        <v>49.537001558733571</v>
      </c>
      <c r="I52" s="217">
        <f>IF('E-Barrows'!A52&lt;'Adj-Barrows'!$B$10,'E-Barrows'!A52," ")</f>
        <v>70</v>
      </c>
      <c r="J52" s="25">
        <f>IF('E-Barrows'!A52&lt;'Adj-Barrows'!$B$10,'E-Barrows'!J52," ")</f>
        <v>1256.2869480729189</v>
      </c>
      <c r="K52" s="27">
        <f>IF('E-Barrows'!A52&lt;'Adj-Barrows'!$B$10,'E-Barrows'!N52," ")</f>
        <v>87.797640708106428</v>
      </c>
      <c r="L52" s="26">
        <f>IF('E-Barrows'!A52&lt;'Adj-Barrows'!$B$10,'E-Barrows'!K52," ")</f>
        <v>0.35296397921884437</v>
      </c>
      <c r="M52" s="27">
        <f>IF('E-Barrows'!A52&lt;'Adj-Barrows'!$B$10,'E-Barrows'!M52," ")</f>
        <v>3.559249730959082</v>
      </c>
      <c r="N52" s="29">
        <f>IF('E-Barrows'!A52&lt;'Adj-Barrows'!$B$10,1/L52," ")</f>
        <v>2.8331502897636502</v>
      </c>
      <c r="O52" s="19"/>
      <c r="P52" s="30">
        <f t="shared" si="2"/>
        <v>2.7696386252549154</v>
      </c>
      <c r="Q52" s="30">
        <f t="shared" si="3"/>
        <v>7.8468024736815609</v>
      </c>
      <c r="R52" s="30">
        <f t="shared" si="4"/>
        <v>109.2103942549421</v>
      </c>
    </row>
    <row r="53" spans="1:18" x14ac:dyDescent="0.25">
      <c r="A53" s="27">
        <f>IF('E-Barrows'!A53&lt;'Adj-Barrows'!$B$10,'E-Barrows'!B53," ")</f>
        <v>30.858821517830282</v>
      </c>
      <c r="B53" s="25">
        <f>IF('E-Barrows'!A53&lt;'Adj-Barrows'!$B$10,'E-Barrows'!A53," ")</f>
        <v>71</v>
      </c>
      <c r="C53" s="25">
        <f>IF('E-Barrows'!A53&lt;'Adj-Barrows'!$B$10,'E-Barrows'!C53," ")</f>
        <v>808.00776083907522</v>
      </c>
      <c r="D53" s="27">
        <f>IF('E-Barrows'!A53&lt;'Adj-Barrows'!$B$10,'E-Barrows'!G53," ")</f>
        <v>36.473433051936162</v>
      </c>
      <c r="E53" s="26">
        <f>IF('E-Barrows'!A53&lt;'Adj-Barrows'!$B$10,'E-Barrows'!D53," ")</f>
        <v>0.55595599041560906</v>
      </c>
      <c r="F53" s="26"/>
      <c r="G53" s="216">
        <f t="shared" si="1"/>
        <v>71</v>
      </c>
      <c r="H53" s="27">
        <f>IF('E-Barrows'!A53&lt;'Adj-Barrows'!$B$10,'E-Barrows'!I53," ")</f>
        <v>50.806935521560412</v>
      </c>
      <c r="I53" s="217">
        <f>IF('E-Barrows'!A53&lt;'Adj-Barrows'!$B$10,'E-Barrows'!A53," ")</f>
        <v>71</v>
      </c>
      <c r="J53" s="25">
        <f>IF('E-Barrows'!A53&lt;'Adj-Barrows'!$B$10,'E-Barrows'!J53," ")</f>
        <v>1269.9339628268399</v>
      </c>
      <c r="K53" s="27">
        <f>IF('E-Barrows'!A53&lt;'Adj-Barrows'!$B$10,'E-Barrows'!N53," ")</f>
        <v>91.441327141122571</v>
      </c>
      <c r="L53" s="26">
        <f>IF('E-Barrows'!A53&lt;'Adj-Barrows'!$B$10,'E-Barrows'!K53," ")</f>
        <v>0.34852998087862935</v>
      </c>
      <c r="M53" s="27">
        <f>IF('E-Barrows'!A53&lt;'Adj-Barrows'!$B$10,'E-Barrows'!M53," ")</f>
        <v>3.6436864330161494</v>
      </c>
      <c r="N53" s="29">
        <f>IF('E-Barrows'!A53&lt;'Adj-Barrows'!$B$10,1/L53," ")</f>
        <v>2.8691936271279799</v>
      </c>
      <c r="O53" s="19"/>
      <c r="P53" s="30">
        <f t="shared" si="2"/>
        <v>2.7997251427021133</v>
      </c>
      <c r="Q53" s="30">
        <f t="shared" si="3"/>
        <v>8.0329535371508758</v>
      </c>
      <c r="R53" s="30">
        <f t="shared" si="4"/>
        <v>112.01011939764422</v>
      </c>
    </row>
    <row r="54" spans="1:18" x14ac:dyDescent="0.25">
      <c r="A54" s="27">
        <f>IF('E-Barrows'!A54&lt;'Adj-Barrows'!$B$10,'E-Barrows'!B54," ")</f>
        <v>31.675336899810677</v>
      </c>
      <c r="B54" s="25">
        <f>IF('E-Barrows'!A54&lt;'Adj-Barrows'!$B$10,'E-Barrows'!A54," ")</f>
        <v>72</v>
      </c>
      <c r="C54" s="25">
        <f>IF('E-Barrows'!A54&lt;'Adj-Barrows'!$B$10,'E-Barrows'!C54," ")</f>
        <v>816.51538198039475</v>
      </c>
      <c r="D54" s="27">
        <f>IF('E-Barrows'!A54&lt;'Adj-Barrows'!$B$10,'E-Barrows'!G54," ")</f>
        <v>37.960462712592317</v>
      </c>
      <c r="E54" s="26">
        <f>IF('E-Barrows'!A54&lt;'Adj-Barrows'!$B$10,'E-Barrows'!D54," ")</f>
        <v>0.5490915235813828</v>
      </c>
      <c r="F54" s="26"/>
      <c r="G54" s="216">
        <f t="shared" si="1"/>
        <v>72</v>
      </c>
      <c r="H54" s="27">
        <f>IF('E-Barrows'!A54&lt;'Adj-Barrows'!$B$10,'E-Barrows'!I54," ")</f>
        <v>52.090240787923996</v>
      </c>
      <c r="I54" s="217">
        <f>IF('E-Barrows'!A54&lt;'Adj-Barrows'!$B$10,'E-Barrows'!A54," ")</f>
        <v>72</v>
      </c>
      <c r="J54" s="25">
        <f>IF('E-Barrows'!A54&lt;'Adj-Barrows'!$B$10,'E-Barrows'!J54," ")</f>
        <v>1283.3052663635854</v>
      </c>
      <c r="K54" s="27">
        <f>IF('E-Barrows'!A54&lt;'Adj-Barrows'!$B$10,'E-Barrows'!N54," ")</f>
        <v>95.16940959157327</v>
      </c>
      <c r="L54" s="26">
        <f>IF('E-Barrows'!A54&lt;'Adj-Barrows'!$B$10,'E-Barrows'!K54," ")</f>
        <v>0.34422663216808419</v>
      </c>
      <c r="M54" s="27">
        <f>IF('E-Barrows'!A54&lt;'Adj-Barrows'!$B$10,'E-Barrows'!M54," ")</f>
        <v>3.7280824504507066</v>
      </c>
      <c r="N54" s="29">
        <f>IF('E-Barrows'!A54&lt;'Adj-Barrows'!$B$10,1/L54," ")</f>
        <v>2.9050628468273336</v>
      </c>
      <c r="O54" s="19"/>
      <c r="P54" s="30">
        <f t="shared" si="2"/>
        <v>2.829203820962829</v>
      </c>
      <c r="Q54" s="30">
        <f t="shared" si="3"/>
        <v>8.2190149063810445</v>
      </c>
      <c r="R54" s="30">
        <f t="shared" si="4"/>
        <v>114.83932321860705</v>
      </c>
    </row>
    <row r="55" spans="1:18" x14ac:dyDescent="0.25">
      <c r="A55" s="27">
        <f>IF('E-Barrows'!A55&lt;'Adj-Barrows'!$B$10,'E-Barrows'!B55," ")</f>
        <v>32.500183025784644</v>
      </c>
      <c r="B55" s="25">
        <f>IF('E-Barrows'!A55&lt;'Adj-Barrows'!$B$10,'E-Barrows'!A55," ")</f>
        <v>73</v>
      </c>
      <c r="C55" s="25">
        <f>IF('E-Barrows'!A55&lt;'Adj-Barrows'!$B$10,'E-Barrows'!C55," ")</f>
        <v>824.84612597396631</v>
      </c>
      <c r="D55" s="27">
        <f>IF('E-Barrows'!A55&lt;'Adj-Barrows'!$B$10,'E-Barrows'!G55," ")</f>
        <v>39.481118852177914</v>
      </c>
      <c r="E55" s="26">
        <f>IF('E-Barrows'!A55&lt;'Adj-Barrows'!$B$10,'E-Barrows'!D55," ")</f>
        <v>0.54242777476224746</v>
      </c>
      <c r="F55" s="26"/>
      <c r="G55" s="216">
        <f t="shared" si="1"/>
        <v>73</v>
      </c>
      <c r="H55" s="27">
        <f>IF('E-Barrows'!A55&lt;'Adj-Barrows'!$B$10,'E-Barrows'!I55," ")</f>
        <v>53.386639362601926</v>
      </c>
      <c r="I55" s="217">
        <f>IF('E-Barrows'!A55&lt;'Adj-Barrows'!$B$10,'E-Barrows'!A55," ")</f>
        <v>73</v>
      </c>
      <c r="J55" s="25">
        <f>IF('E-Barrows'!A55&lt;'Adj-Barrows'!$B$10,'E-Barrows'!J55," ")</f>
        <v>1296.3985746779335</v>
      </c>
      <c r="K55" s="27">
        <f>IF('E-Barrows'!A55&lt;'Adj-Barrows'!$B$10,'E-Barrows'!N55," ")</f>
        <v>98.981795865467546</v>
      </c>
      <c r="L55" s="26">
        <f>IF('E-Barrows'!A55&lt;'Adj-Barrows'!$B$10,'E-Barrows'!K55," ")</f>
        <v>0.34004911400378307</v>
      </c>
      <c r="M55" s="27">
        <f>IF('E-Barrows'!A55&lt;'Adj-Barrows'!$B$10,'E-Barrows'!M55," ")</f>
        <v>3.8123862738942798</v>
      </c>
      <c r="N55" s="29">
        <f>IF('E-Barrows'!A55&lt;'Adj-Barrows'!$B$10,1/L55," ")</f>
        <v>2.9407516703274661</v>
      </c>
      <c r="O55" s="19"/>
      <c r="P55" s="30">
        <f t="shared" si="2"/>
        <v>2.8580696246674817</v>
      </c>
      <c r="Q55" s="30">
        <f t="shared" si="3"/>
        <v>8.4048730226530921</v>
      </c>
      <c r="R55" s="30">
        <f t="shared" si="4"/>
        <v>117.69739284327451</v>
      </c>
    </row>
    <row r="56" spans="1:18" x14ac:dyDescent="0.25">
      <c r="A56" s="27">
        <f>IF('E-Barrows'!A56&lt;'Adj-Barrows'!$B$10,'E-Barrows'!B56," ")</f>
        <v>33.333181689305846</v>
      </c>
      <c r="B56" s="25">
        <f>IF('E-Barrows'!A56&lt;'Adj-Barrows'!$B$10,'E-Barrows'!A56," ")</f>
        <v>74</v>
      </c>
      <c r="C56" s="25">
        <f>IF('E-Barrows'!A56&lt;'Adj-Barrows'!$B$10,'E-Barrows'!C56," ")</f>
        <v>832.99866352120239</v>
      </c>
      <c r="D56" s="27">
        <f>IF('E-Barrows'!A56&lt;'Adj-Barrows'!$B$10,'E-Barrows'!G56," ")</f>
        <v>41.035344533277005</v>
      </c>
      <c r="E56" s="26">
        <f>IF('E-Barrows'!A56&lt;'Adj-Barrows'!$B$10,'E-Barrows'!D56," ")</f>
        <v>0.53595734110643256</v>
      </c>
      <c r="F56" s="26"/>
      <c r="G56" s="216">
        <f t="shared" si="1"/>
        <v>74</v>
      </c>
      <c r="H56" s="27">
        <f>IF('E-Barrows'!A56&lt;'Adj-Barrows'!$B$10,'E-Barrows'!I56," ")</f>
        <v>54.695851161132694</v>
      </c>
      <c r="I56" s="217">
        <f>IF('E-Barrows'!A56&lt;'Adj-Barrows'!$B$10,'E-Barrows'!A56," ")</f>
        <v>74</v>
      </c>
      <c r="J56" s="25">
        <f>IF('E-Barrows'!A56&lt;'Adj-Barrows'!$B$10,'E-Barrows'!J56," ")</f>
        <v>1309.211798530765</v>
      </c>
      <c r="K56" s="27">
        <f>IF('E-Barrows'!A56&lt;'Adj-Barrows'!$B$10,'E-Barrows'!N56," ")</f>
        <v>102.87834321690946</v>
      </c>
      <c r="L56" s="26">
        <f>IF('E-Barrows'!A56&lt;'Adj-Barrows'!$B$10,'E-Barrows'!K56," ")</f>
        <v>0.33599278552236539</v>
      </c>
      <c r="M56" s="27">
        <f>IF('E-Barrows'!A56&lt;'Adj-Barrows'!$B$10,'E-Barrows'!M56," ")</f>
        <v>3.8965473514419173</v>
      </c>
      <c r="N56" s="29">
        <f>IF('E-Barrows'!A56&lt;'Adj-Barrows'!$B$10,1/L56," ")</f>
        <v>2.9762543813115143</v>
      </c>
      <c r="O56" s="19"/>
      <c r="P56" s="30">
        <f t="shared" si="2"/>
        <v>2.8863179478322465</v>
      </c>
      <c r="Q56" s="30">
        <f t="shared" si="3"/>
        <v>8.5904164380937829</v>
      </c>
      <c r="R56" s="30">
        <f t="shared" si="4"/>
        <v>120.58371079110675</v>
      </c>
    </row>
    <row r="57" spans="1:18" x14ac:dyDescent="0.25">
      <c r="A57" s="27" t="str">
        <f>IF('E-Barrows'!A57&lt;'Adj-Barrows'!$B$10,'E-Barrows'!B57," ")</f>
        <v xml:space="preserve"> </v>
      </c>
      <c r="B57" s="25" t="str">
        <f>IF('E-Barrows'!A57&lt;'Adj-Barrows'!$B$10,'E-Barrows'!A57," ")</f>
        <v xml:space="preserve"> </v>
      </c>
      <c r="C57" s="25" t="str">
        <f>IF('E-Barrows'!A57&lt;'Adj-Barrows'!$B$10,'E-Barrows'!C57," ")</f>
        <v xml:space="preserve"> </v>
      </c>
      <c r="D57" s="27" t="str">
        <f>IF('E-Barrows'!A57&lt;'Adj-Barrows'!$B$10,'E-Barrows'!G57," ")</f>
        <v xml:space="preserve"> </v>
      </c>
      <c r="E57" s="26" t="str">
        <f>IF('E-Barrows'!A57&lt;'Adj-Barrows'!$B$10,'E-Barrows'!D57," ")</f>
        <v xml:space="preserve"> </v>
      </c>
      <c r="F57" s="26"/>
      <c r="G57" s="216" t="str">
        <f t="shared" si="1"/>
        <v xml:space="preserve"> </v>
      </c>
      <c r="H57" s="27" t="str">
        <f>IF('E-Barrows'!A57&lt;'Adj-Barrows'!$B$10,'E-Barrows'!I57," ")</f>
        <v xml:space="preserve"> </v>
      </c>
      <c r="I57" s="217" t="str">
        <f>IF('E-Barrows'!A57&lt;'Adj-Barrows'!$B$10,'E-Barrows'!A57," ")</f>
        <v xml:space="preserve"> </v>
      </c>
      <c r="J57" s="25" t="str">
        <f>IF('E-Barrows'!A57&lt;'Adj-Barrows'!$B$10,'E-Barrows'!J57," ")</f>
        <v xml:space="preserve"> </v>
      </c>
      <c r="K57" s="27" t="str">
        <f>IF('E-Barrows'!A57&lt;'Adj-Barrows'!$B$10,'E-Barrows'!N57," ")</f>
        <v xml:space="preserve"> </v>
      </c>
      <c r="L57" s="26" t="str">
        <f>IF('E-Barrows'!A57&lt;'Adj-Barrows'!$B$10,'E-Barrows'!K57," ")</f>
        <v xml:space="preserve"> </v>
      </c>
      <c r="M57" s="27" t="str">
        <f>IF('E-Barrows'!A57&lt;'Adj-Barrows'!$B$10,'E-Barrows'!M57," ")</f>
        <v xml:space="preserve"> </v>
      </c>
      <c r="N57" s="29" t="str">
        <f>IF('E-Barrows'!A57&lt;'Adj-Barrows'!$B$10,1/L57," ")</f>
        <v xml:space="preserve"> </v>
      </c>
      <c r="O57" s="19"/>
      <c r="P57" s="30" t="str">
        <f t="shared" si="2"/>
        <v/>
      </c>
      <c r="Q57" s="30" t="str">
        <f t="shared" si="3"/>
        <v/>
      </c>
      <c r="R57" s="30" t="str">
        <f t="shared" si="4"/>
        <v/>
      </c>
    </row>
    <row r="58" spans="1:18" x14ac:dyDescent="0.25">
      <c r="A58" s="27" t="str">
        <f>IF('E-Barrows'!A58&lt;'Adj-Barrows'!$B$10,'E-Barrows'!B58," ")</f>
        <v xml:space="preserve"> </v>
      </c>
      <c r="B58" s="25" t="str">
        <f>IF('E-Barrows'!A58&lt;'Adj-Barrows'!$B$10,'E-Barrows'!A58," ")</f>
        <v xml:space="preserve"> </v>
      </c>
      <c r="C58" s="25" t="str">
        <f>IF('E-Barrows'!A58&lt;'Adj-Barrows'!$B$10,'E-Barrows'!C58," ")</f>
        <v xml:space="preserve"> </v>
      </c>
      <c r="D58" s="27" t="str">
        <f>IF('E-Barrows'!A58&lt;'Adj-Barrows'!$B$10,'E-Barrows'!G58," ")</f>
        <v xml:space="preserve"> </v>
      </c>
      <c r="E58" s="26" t="str">
        <f>IF('E-Barrows'!A58&lt;'Adj-Barrows'!$B$10,'E-Barrows'!D58," ")</f>
        <v xml:space="preserve"> </v>
      </c>
      <c r="F58" s="26"/>
      <c r="G58" s="216" t="str">
        <f t="shared" si="1"/>
        <v xml:space="preserve"> </v>
      </c>
      <c r="H58" s="27" t="str">
        <f>IF('E-Barrows'!A58&lt;'Adj-Barrows'!$B$10,'E-Barrows'!I58," ")</f>
        <v xml:space="preserve"> </v>
      </c>
      <c r="I58" s="217" t="str">
        <f>IF('E-Barrows'!A58&lt;'Adj-Barrows'!$B$10,'E-Barrows'!A58," ")</f>
        <v xml:space="preserve"> </v>
      </c>
      <c r="J58" s="25" t="str">
        <f>IF('E-Barrows'!A58&lt;'Adj-Barrows'!$B$10,'E-Barrows'!J58," ")</f>
        <v xml:space="preserve"> </v>
      </c>
      <c r="K58" s="27" t="str">
        <f>IF('E-Barrows'!A58&lt;'Adj-Barrows'!$B$10,'E-Barrows'!N58," ")</f>
        <v xml:space="preserve"> </v>
      </c>
      <c r="L58" s="26" t="str">
        <f>IF('E-Barrows'!A58&lt;'Adj-Barrows'!$B$10,'E-Barrows'!K58," ")</f>
        <v xml:space="preserve"> </v>
      </c>
      <c r="M58" s="27" t="str">
        <f>IF('E-Barrows'!A58&lt;'Adj-Barrows'!$B$10,'E-Barrows'!M58," ")</f>
        <v xml:space="preserve"> </v>
      </c>
      <c r="N58" s="29" t="str">
        <f>IF('E-Barrows'!A58&lt;'Adj-Barrows'!$B$10,1/L58," ")</f>
        <v xml:space="preserve"> </v>
      </c>
      <c r="O58" s="19"/>
      <c r="P58" s="30" t="str">
        <f t="shared" si="2"/>
        <v/>
      </c>
      <c r="Q58" s="30" t="str">
        <f t="shared" si="3"/>
        <v/>
      </c>
      <c r="R58" s="30" t="str">
        <f t="shared" si="4"/>
        <v/>
      </c>
    </row>
    <row r="59" spans="1:18" x14ac:dyDescent="0.25">
      <c r="A59" s="27" t="str">
        <f>IF('E-Barrows'!A59&lt;'Adj-Barrows'!$B$10,'E-Barrows'!B59," ")</f>
        <v xml:space="preserve"> </v>
      </c>
      <c r="B59" s="25" t="str">
        <f>IF('E-Barrows'!A59&lt;'Adj-Barrows'!$B$10,'E-Barrows'!A59," ")</f>
        <v xml:space="preserve"> </v>
      </c>
      <c r="C59" s="25" t="str">
        <f>IF('E-Barrows'!A59&lt;'Adj-Barrows'!$B$10,'E-Barrows'!C59," ")</f>
        <v xml:space="preserve"> </v>
      </c>
      <c r="D59" s="27" t="str">
        <f>IF('E-Barrows'!A59&lt;'Adj-Barrows'!$B$10,'E-Barrows'!G59," ")</f>
        <v xml:space="preserve"> </v>
      </c>
      <c r="E59" s="26" t="str">
        <f>IF('E-Barrows'!A59&lt;'Adj-Barrows'!$B$10,'E-Barrows'!D59," ")</f>
        <v xml:space="preserve"> </v>
      </c>
      <c r="F59" s="26"/>
      <c r="G59" s="216" t="str">
        <f t="shared" si="1"/>
        <v xml:space="preserve"> </v>
      </c>
      <c r="H59" s="27" t="str">
        <f>IF('E-Barrows'!A59&lt;'Adj-Barrows'!$B$10,'E-Barrows'!I59," ")</f>
        <v xml:space="preserve"> </v>
      </c>
      <c r="I59" s="217" t="str">
        <f>IF('E-Barrows'!A59&lt;'Adj-Barrows'!$B$10,'E-Barrows'!A59," ")</f>
        <v xml:space="preserve"> </v>
      </c>
      <c r="J59" s="25" t="str">
        <f>IF('E-Barrows'!A59&lt;'Adj-Barrows'!$B$10,'E-Barrows'!J59," ")</f>
        <v xml:space="preserve"> </v>
      </c>
      <c r="K59" s="27" t="str">
        <f>IF('E-Barrows'!A59&lt;'Adj-Barrows'!$B$10,'E-Barrows'!N59," ")</f>
        <v xml:space="preserve"> </v>
      </c>
      <c r="L59" s="26" t="str">
        <f>IF('E-Barrows'!A59&lt;'Adj-Barrows'!$B$10,'E-Barrows'!K59," ")</f>
        <v xml:space="preserve"> </v>
      </c>
      <c r="M59" s="27" t="str">
        <f>IF('E-Barrows'!A59&lt;'Adj-Barrows'!$B$10,'E-Barrows'!M59," ")</f>
        <v xml:space="preserve"> </v>
      </c>
      <c r="N59" s="29" t="str">
        <f>IF('E-Barrows'!A59&lt;'Adj-Barrows'!$B$10,1/L59," ")</f>
        <v xml:space="preserve"> </v>
      </c>
      <c r="O59" s="19"/>
      <c r="P59" s="30" t="str">
        <f t="shared" si="2"/>
        <v/>
      </c>
      <c r="Q59" s="30" t="str">
        <f t="shared" si="3"/>
        <v/>
      </c>
      <c r="R59" s="30" t="str">
        <f t="shared" si="4"/>
        <v/>
      </c>
    </row>
    <row r="60" spans="1:18" x14ac:dyDescent="0.25">
      <c r="A60" s="27" t="str">
        <f>IF('E-Barrows'!A60&lt;'Adj-Barrows'!$B$10,'E-Barrows'!B60," ")</f>
        <v xml:space="preserve"> </v>
      </c>
      <c r="B60" s="25" t="str">
        <f>IF('E-Barrows'!A60&lt;'Adj-Barrows'!$B$10,'E-Barrows'!A60," ")</f>
        <v xml:space="preserve"> </v>
      </c>
      <c r="C60" s="25" t="str">
        <f>IF('E-Barrows'!A60&lt;'Adj-Barrows'!$B$10,'E-Barrows'!C60," ")</f>
        <v xml:space="preserve"> </v>
      </c>
      <c r="D60" s="27" t="str">
        <f>IF('E-Barrows'!A60&lt;'Adj-Barrows'!$B$10,'E-Barrows'!G60," ")</f>
        <v xml:space="preserve"> </v>
      </c>
      <c r="E60" s="26" t="str">
        <f>IF('E-Barrows'!A60&lt;'Adj-Barrows'!$B$10,'E-Barrows'!D60," ")</f>
        <v xml:space="preserve"> </v>
      </c>
      <c r="F60" s="26"/>
      <c r="G60" s="216" t="str">
        <f t="shared" si="1"/>
        <v xml:space="preserve"> </v>
      </c>
      <c r="H60" s="27" t="str">
        <f>IF('E-Barrows'!A60&lt;'Adj-Barrows'!$B$10,'E-Barrows'!I60," ")</f>
        <v xml:space="preserve"> </v>
      </c>
      <c r="I60" s="217" t="str">
        <f>IF('E-Barrows'!A60&lt;'Adj-Barrows'!$B$10,'E-Barrows'!A60," ")</f>
        <v xml:space="preserve"> </v>
      </c>
      <c r="J60" s="25" t="str">
        <f>IF('E-Barrows'!A60&lt;'Adj-Barrows'!$B$10,'E-Barrows'!J60," ")</f>
        <v xml:space="preserve"> </v>
      </c>
      <c r="K60" s="27" t="str">
        <f>IF('E-Barrows'!A60&lt;'Adj-Barrows'!$B$10,'E-Barrows'!N60," ")</f>
        <v xml:space="preserve"> </v>
      </c>
      <c r="L60" s="26" t="str">
        <f>IF('E-Barrows'!A60&lt;'Adj-Barrows'!$B$10,'E-Barrows'!K60," ")</f>
        <v xml:space="preserve"> </v>
      </c>
      <c r="M60" s="27" t="str">
        <f>IF('E-Barrows'!A60&lt;'Adj-Barrows'!$B$10,'E-Barrows'!M60," ")</f>
        <v xml:space="preserve"> </v>
      </c>
      <c r="N60" s="29" t="str">
        <f>IF('E-Barrows'!A60&lt;'Adj-Barrows'!$B$10,1/L60," ")</f>
        <v xml:space="preserve"> </v>
      </c>
      <c r="O60" s="19"/>
      <c r="P60" s="30" t="str">
        <f t="shared" si="2"/>
        <v/>
      </c>
      <c r="Q60" s="30" t="str">
        <f t="shared" si="3"/>
        <v/>
      </c>
      <c r="R60" s="30" t="str">
        <f t="shared" si="4"/>
        <v/>
      </c>
    </row>
    <row r="61" spans="1:18" x14ac:dyDescent="0.25">
      <c r="A61" s="27" t="str">
        <f>IF('E-Barrows'!A61&lt;'Adj-Barrows'!$B$10,'E-Barrows'!B61," ")</f>
        <v xml:space="preserve"> </v>
      </c>
      <c r="B61" s="25" t="str">
        <f>IF('E-Barrows'!A61&lt;'Adj-Barrows'!$B$10,'E-Barrows'!A61," ")</f>
        <v xml:space="preserve"> </v>
      </c>
      <c r="C61" s="25" t="str">
        <f>IF('E-Barrows'!A61&lt;'Adj-Barrows'!$B$10,'E-Barrows'!C61," ")</f>
        <v xml:space="preserve"> </v>
      </c>
      <c r="D61" s="27" t="str">
        <f>IF('E-Barrows'!A61&lt;'Adj-Barrows'!$B$10,'E-Barrows'!G61," ")</f>
        <v xml:space="preserve"> </v>
      </c>
      <c r="E61" s="26" t="str">
        <f>IF('E-Barrows'!A61&lt;'Adj-Barrows'!$B$10,'E-Barrows'!D61," ")</f>
        <v xml:space="preserve"> </v>
      </c>
      <c r="F61" s="26"/>
      <c r="G61" s="216" t="str">
        <f t="shared" si="1"/>
        <v xml:space="preserve"> </v>
      </c>
      <c r="H61" s="27" t="str">
        <f>IF('E-Barrows'!A61&lt;'Adj-Barrows'!$B$10,'E-Barrows'!I61," ")</f>
        <v xml:space="preserve"> </v>
      </c>
      <c r="I61" s="217" t="str">
        <f>IF('E-Barrows'!A61&lt;'Adj-Barrows'!$B$10,'E-Barrows'!A61," ")</f>
        <v xml:space="preserve"> </v>
      </c>
      <c r="J61" s="25" t="str">
        <f>IF('E-Barrows'!A61&lt;'Adj-Barrows'!$B$10,'E-Barrows'!J61," ")</f>
        <v xml:space="preserve"> </v>
      </c>
      <c r="K61" s="27" t="str">
        <f>IF('E-Barrows'!A61&lt;'Adj-Barrows'!$B$10,'E-Barrows'!N61," ")</f>
        <v xml:space="preserve"> </v>
      </c>
      <c r="L61" s="26" t="str">
        <f>IF('E-Barrows'!A61&lt;'Adj-Barrows'!$B$10,'E-Barrows'!K61," ")</f>
        <v xml:space="preserve"> </v>
      </c>
      <c r="M61" s="27" t="str">
        <f>IF('E-Barrows'!A61&lt;'Adj-Barrows'!$B$10,'E-Barrows'!M61," ")</f>
        <v xml:space="preserve"> </v>
      </c>
      <c r="N61" s="29" t="str">
        <f>IF('E-Barrows'!A61&lt;'Adj-Barrows'!$B$10,1/L61," ")</f>
        <v xml:space="preserve"> </v>
      </c>
      <c r="O61" s="19"/>
      <c r="P61" s="30" t="str">
        <f t="shared" si="2"/>
        <v/>
      </c>
      <c r="Q61" s="30" t="str">
        <f t="shared" si="3"/>
        <v/>
      </c>
      <c r="R61" s="30" t="str">
        <f t="shared" si="4"/>
        <v/>
      </c>
    </row>
    <row r="62" spans="1:18" x14ac:dyDescent="0.25">
      <c r="A62" s="27" t="str">
        <f>IF('E-Barrows'!A62&lt;'Adj-Barrows'!$B$10,'E-Barrows'!B62," ")</f>
        <v xml:space="preserve"> </v>
      </c>
      <c r="B62" s="25" t="str">
        <f>IF('E-Barrows'!A62&lt;'Adj-Barrows'!$B$10,'E-Barrows'!A62," ")</f>
        <v xml:space="preserve"> </v>
      </c>
      <c r="C62" s="25" t="str">
        <f>IF('E-Barrows'!A62&lt;'Adj-Barrows'!$B$10,'E-Barrows'!C62," ")</f>
        <v xml:space="preserve"> </v>
      </c>
      <c r="D62" s="27" t="str">
        <f>IF('E-Barrows'!A62&lt;'Adj-Barrows'!$B$10,'E-Barrows'!G62," ")</f>
        <v xml:space="preserve"> </v>
      </c>
      <c r="E62" s="26" t="str">
        <f>IF('E-Barrows'!A62&lt;'Adj-Barrows'!$B$10,'E-Barrows'!D62," ")</f>
        <v xml:space="preserve"> </v>
      </c>
      <c r="F62" s="26"/>
      <c r="G62" s="216" t="str">
        <f t="shared" si="1"/>
        <v xml:space="preserve"> </v>
      </c>
      <c r="H62" s="27" t="str">
        <f>IF('E-Barrows'!A62&lt;'Adj-Barrows'!$B$10,'E-Barrows'!I62," ")</f>
        <v xml:space="preserve"> </v>
      </c>
      <c r="I62" s="217" t="str">
        <f>IF('E-Barrows'!A62&lt;'Adj-Barrows'!$B$10,'E-Barrows'!A62," ")</f>
        <v xml:space="preserve"> </v>
      </c>
      <c r="J62" s="25" t="str">
        <f>IF('E-Barrows'!A62&lt;'Adj-Barrows'!$B$10,'E-Barrows'!J62," ")</f>
        <v xml:space="preserve"> </v>
      </c>
      <c r="K62" s="27" t="str">
        <f>IF('E-Barrows'!A62&lt;'Adj-Barrows'!$B$10,'E-Barrows'!N62," ")</f>
        <v xml:space="preserve"> </v>
      </c>
      <c r="L62" s="26" t="str">
        <f>IF('E-Barrows'!A62&lt;'Adj-Barrows'!$B$10,'E-Barrows'!K62," ")</f>
        <v xml:space="preserve"> </v>
      </c>
      <c r="M62" s="27" t="str">
        <f>IF('E-Barrows'!A62&lt;'Adj-Barrows'!$B$10,'E-Barrows'!M62," ")</f>
        <v xml:space="preserve"> </v>
      </c>
      <c r="N62" s="29" t="str">
        <f>IF('E-Barrows'!A62&lt;'Adj-Barrows'!$B$10,1/L62," ")</f>
        <v xml:space="preserve"> </v>
      </c>
      <c r="O62" s="19"/>
      <c r="P62" s="30" t="str">
        <f t="shared" si="2"/>
        <v/>
      </c>
      <c r="Q62" s="30" t="str">
        <f t="shared" si="3"/>
        <v/>
      </c>
      <c r="R62" s="30" t="str">
        <f t="shared" si="4"/>
        <v/>
      </c>
    </row>
    <row r="63" spans="1:18" x14ac:dyDescent="0.25">
      <c r="A63" s="27" t="str">
        <f>IF('E-Barrows'!A63&lt;'Adj-Barrows'!$B$10,'E-Barrows'!B63," ")</f>
        <v xml:space="preserve"> </v>
      </c>
      <c r="B63" s="25" t="str">
        <f>IF('E-Barrows'!A63&lt;'Adj-Barrows'!$B$10,'E-Barrows'!A63," ")</f>
        <v xml:space="preserve"> </v>
      </c>
      <c r="C63" s="25" t="str">
        <f>IF('E-Barrows'!A63&lt;'Adj-Barrows'!$B$10,'E-Barrows'!C63," ")</f>
        <v xml:space="preserve"> </v>
      </c>
      <c r="D63" s="27" t="str">
        <f>IF('E-Barrows'!A63&lt;'Adj-Barrows'!$B$10,'E-Barrows'!G63," ")</f>
        <v xml:space="preserve"> </v>
      </c>
      <c r="E63" s="26" t="str">
        <f>IF('E-Barrows'!A63&lt;'Adj-Barrows'!$B$10,'E-Barrows'!D63," ")</f>
        <v xml:space="preserve"> </v>
      </c>
      <c r="F63" s="26"/>
      <c r="G63" s="216" t="str">
        <f t="shared" si="1"/>
        <v xml:space="preserve"> </v>
      </c>
      <c r="H63" s="27" t="str">
        <f>IF('E-Barrows'!A63&lt;'Adj-Barrows'!$B$10,'E-Barrows'!I63," ")</f>
        <v xml:space="preserve"> </v>
      </c>
      <c r="I63" s="217" t="str">
        <f>IF('E-Barrows'!A63&lt;'Adj-Barrows'!$B$10,'E-Barrows'!A63," ")</f>
        <v xml:space="preserve"> </v>
      </c>
      <c r="J63" s="25" t="str">
        <f>IF('E-Barrows'!A63&lt;'Adj-Barrows'!$B$10,'E-Barrows'!J63," ")</f>
        <v xml:space="preserve"> </v>
      </c>
      <c r="K63" s="27" t="str">
        <f>IF('E-Barrows'!A63&lt;'Adj-Barrows'!$B$10,'E-Barrows'!N63," ")</f>
        <v xml:space="preserve"> </v>
      </c>
      <c r="L63" s="26" t="str">
        <f>IF('E-Barrows'!A63&lt;'Adj-Barrows'!$B$10,'E-Barrows'!K63," ")</f>
        <v xml:space="preserve"> </v>
      </c>
      <c r="M63" s="27" t="str">
        <f>IF('E-Barrows'!A63&lt;'Adj-Barrows'!$B$10,'E-Barrows'!M63," ")</f>
        <v xml:space="preserve"> </v>
      </c>
      <c r="N63" s="29" t="str">
        <f>IF('E-Barrows'!A63&lt;'Adj-Barrows'!$B$10,1/L63," ")</f>
        <v xml:space="preserve"> </v>
      </c>
      <c r="O63" s="19"/>
      <c r="P63" s="30" t="str">
        <f t="shared" si="2"/>
        <v/>
      </c>
      <c r="Q63" s="30" t="str">
        <f t="shared" si="3"/>
        <v/>
      </c>
      <c r="R63" s="30" t="str">
        <f t="shared" si="4"/>
        <v/>
      </c>
    </row>
    <row r="64" spans="1:18" x14ac:dyDescent="0.25">
      <c r="A64" s="27" t="str">
        <f>IF('E-Barrows'!A64&lt;'Adj-Barrows'!$B$10,'E-Barrows'!B64," ")</f>
        <v xml:space="preserve"> </v>
      </c>
      <c r="B64" s="25" t="str">
        <f>IF('E-Barrows'!A64&lt;'Adj-Barrows'!$B$10,'E-Barrows'!A64," ")</f>
        <v xml:space="preserve"> </v>
      </c>
      <c r="C64" s="25" t="str">
        <f>IF('E-Barrows'!A64&lt;'Adj-Barrows'!$B$10,'E-Barrows'!C64," ")</f>
        <v xml:space="preserve"> </v>
      </c>
      <c r="D64" s="27" t="str">
        <f>IF('E-Barrows'!A64&lt;'Adj-Barrows'!$B$10,'E-Barrows'!G64," ")</f>
        <v xml:space="preserve"> </v>
      </c>
      <c r="E64" s="26" t="str">
        <f>IF('E-Barrows'!A64&lt;'Adj-Barrows'!$B$10,'E-Barrows'!D64," ")</f>
        <v xml:space="preserve"> </v>
      </c>
      <c r="F64" s="26"/>
      <c r="G64" s="216" t="str">
        <f t="shared" si="1"/>
        <v xml:space="preserve"> </v>
      </c>
      <c r="H64" s="27" t="str">
        <f>IF('E-Barrows'!A64&lt;'Adj-Barrows'!$B$10,'E-Barrows'!I64," ")</f>
        <v xml:space="preserve"> </v>
      </c>
      <c r="I64" s="217" t="str">
        <f>IF('E-Barrows'!A64&lt;'Adj-Barrows'!$B$10,'E-Barrows'!A64," ")</f>
        <v xml:space="preserve"> </v>
      </c>
      <c r="J64" s="25" t="str">
        <f>IF('E-Barrows'!A64&lt;'Adj-Barrows'!$B$10,'E-Barrows'!J64," ")</f>
        <v xml:space="preserve"> </v>
      </c>
      <c r="K64" s="27" t="str">
        <f>IF('E-Barrows'!A64&lt;'Adj-Barrows'!$B$10,'E-Barrows'!N64," ")</f>
        <v xml:space="preserve"> </v>
      </c>
      <c r="L64" s="26" t="str">
        <f>IF('E-Barrows'!A64&lt;'Adj-Barrows'!$B$10,'E-Barrows'!K64," ")</f>
        <v xml:space="preserve"> </v>
      </c>
      <c r="M64" s="27" t="str">
        <f>IF('E-Barrows'!A64&lt;'Adj-Barrows'!$B$10,'E-Barrows'!M64," ")</f>
        <v xml:space="preserve"> </v>
      </c>
      <c r="N64" s="29" t="str">
        <f>IF('E-Barrows'!A64&lt;'Adj-Barrows'!$B$10,1/L64," ")</f>
        <v xml:space="preserve"> </v>
      </c>
      <c r="O64" s="19"/>
      <c r="P64" s="30" t="str">
        <f t="shared" si="2"/>
        <v/>
      </c>
      <c r="Q64" s="30" t="str">
        <f t="shared" si="3"/>
        <v/>
      </c>
      <c r="R64" s="30" t="str">
        <f t="shared" si="4"/>
        <v/>
      </c>
    </row>
    <row r="65" spans="1:18" x14ac:dyDescent="0.25">
      <c r="A65" s="27" t="str">
        <f>IF('E-Barrows'!A65&lt;'Adj-Barrows'!$B$10,'E-Barrows'!B65," ")</f>
        <v xml:space="preserve"> </v>
      </c>
      <c r="B65" s="25" t="str">
        <f>IF('E-Barrows'!A65&lt;'Adj-Barrows'!$B$10,'E-Barrows'!A65," ")</f>
        <v xml:space="preserve"> </v>
      </c>
      <c r="C65" s="25" t="str">
        <f>IF('E-Barrows'!A65&lt;'Adj-Barrows'!$B$10,'E-Barrows'!C65," ")</f>
        <v xml:space="preserve"> </v>
      </c>
      <c r="D65" s="27" t="str">
        <f>IF('E-Barrows'!A65&lt;'Adj-Barrows'!$B$10,'E-Barrows'!G65," ")</f>
        <v xml:space="preserve"> </v>
      </c>
      <c r="E65" s="26" t="str">
        <f>IF('E-Barrows'!A65&lt;'Adj-Barrows'!$B$10,'E-Barrows'!D65," ")</f>
        <v xml:space="preserve"> </v>
      </c>
      <c r="F65" s="26"/>
      <c r="G65" s="216" t="str">
        <f t="shared" si="1"/>
        <v xml:space="preserve"> </v>
      </c>
      <c r="H65" s="27" t="str">
        <f>IF('E-Barrows'!A65&lt;'Adj-Barrows'!$B$10,'E-Barrows'!I65," ")</f>
        <v xml:space="preserve"> </v>
      </c>
      <c r="I65" s="217" t="str">
        <f>IF('E-Barrows'!A65&lt;'Adj-Barrows'!$B$10,'E-Barrows'!A65," ")</f>
        <v xml:space="preserve"> </v>
      </c>
      <c r="J65" s="25" t="str">
        <f>IF('E-Barrows'!A65&lt;'Adj-Barrows'!$B$10,'E-Barrows'!J65," ")</f>
        <v xml:space="preserve"> </v>
      </c>
      <c r="K65" s="27" t="str">
        <f>IF('E-Barrows'!A65&lt;'Adj-Barrows'!$B$10,'E-Barrows'!N65," ")</f>
        <v xml:space="preserve"> </v>
      </c>
      <c r="L65" s="26" t="str">
        <f>IF('E-Barrows'!A65&lt;'Adj-Barrows'!$B$10,'E-Barrows'!K65," ")</f>
        <v xml:space="preserve"> </v>
      </c>
      <c r="M65" s="27" t="str">
        <f>IF('E-Barrows'!A65&lt;'Adj-Barrows'!$B$10,'E-Barrows'!M65," ")</f>
        <v xml:space="preserve"> </v>
      </c>
      <c r="N65" s="29" t="str">
        <f>IF('E-Barrows'!A65&lt;'Adj-Barrows'!$B$10,1/L65," ")</f>
        <v xml:space="preserve"> </v>
      </c>
      <c r="O65" s="19"/>
      <c r="P65" s="30" t="str">
        <f t="shared" si="2"/>
        <v/>
      </c>
      <c r="Q65" s="30" t="str">
        <f t="shared" si="3"/>
        <v/>
      </c>
      <c r="R65" s="30" t="str">
        <f t="shared" si="4"/>
        <v/>
      </c>
    </row>
    <row r="66" spans="1:18" x14ac:dyDescent="0.25">
      <c r="A66" s="27" t="str">
        <f>IF('E-Barrows'!A66&lt;'Adj-Barrows'!$B$10,'E-Barrows'!B66," ")</f>
        <v xml:space="preserve"> </v>
      </c>
      <c r="B66" s="25" t="str">
        <f>IF('E-Barrows'!A66&lt;'Adj-Barrows'!$B$10,'E-Barrows'!A66," ")</f>
        <v xml:space="preserve"> </v>
      </c>
      <c r="C66" s="25" t="str">
        <f>IF('E-Barrows'!A66&lt;'Adj-Barrows'!$B$10,'E-Barrows'!C66," ")</f>
        <v xml:space="preserve"> </v>
      </c>
      <c r="D66" s="27" t="str">
        <f>IF('E-Barrows'!A66&lt;'Adj-Barrows'!$B$10,'E-Barrows'!G66," ")</f>
        <v xml:space="preserve"> </v>
      </c>
      <c r="E66" s="26" t="str">
        <f>IF('E-Barrows'!A66&lt;'Adj-Barrows'!$B$10,'E-Barrows'!D66," ")</f>
        <v xml:space="preserve"> </v>
      </c>
      <c r="F66" s="26"/>
      <c r="G66" s="216" t="str">
        <f t="shared" si="1"/>
        <v xml:space="preserve"> </v>
      </c>
      <c r="H66" s="27" t="str">
        <f>IF('E-Barrows'!A66&lt;'Adj-Barrows'!$B$10,'E-Barrows'!I66," ")</f>
        <v xml:space="preserve"> </v>
      </c>
      <c r="I66" s="217" t="str">
        <f>IF('E-Barrows'!A66&lt;'Adj-Barrows'!$B$10,'E-Barrows'!A66," ")</f>
        <v xml:space="preserve"> </v>
      </c>
      <c r="J66" s="25" t="str">
        <f>IF('E-Barrows'!A66&lt;'Adj-Barrows'!$B$10,'E-Barrows'!J66," ")</f>
        <v xml:space="preserve"> </v>
      </c>
      <c r="K66" s="27" t="str">
        <f>IF('E-Barrows'!A66&lt;'Adj-Barrows'!$B$10,'E-Barrows'!N66," ")</f>
        <v xml:space="preserve"> </v>
      </c>
      <c r="L66" s="26" t="str">
        <f>IF('E-Barrows'!A66&lt;'Adj-Barrows'!$B$10,'E-Barrows'!K66," ")</f>
        <v xml:space="preserve"> </v>
      </c>
      <c r="M66" s="27" t="str">
        <f>IF('E-Barrows'!A66&lt;'Adj-Barrows'!$B$10,'E-Barrows'!M66," ")</f>
        <v xml:space="preserve"> </v>
      </c>
      <c r="N66" s="29" t="str">
        <f>IF('E-Barrows'!A66&lt;'Adj-Barrows'!$B$10,1/L66," ")</f>
        <v xml:space="preserve"> </v>
      </c>
      <c r="O66" s="19"/>
      <c r="P66" s="30" t="str">
        <f t="shared" si="2"/>
        <v/>
      </c>
      <c r="Q66" s="30" t="str">
        <f t="shared" si="3"/>
        <v/>
      </c>
      <c r="R66" s="30" t="str">
        <f t="shared" si="4"/>
        <v/>
      </c>
    </row>
    <row r="67" spans="1:18" x14ac:dyDescent="0.25">
      <c r="A67" s="27" t="str">
        <f>IF('E-Barrows'!A67&lt;'Adj-Barrows'!$B$10,'E-Barrows'!B67," ")</f>
        <v xml:space="preserve"> </v>
      </c>
      <c r="B67" s="25" t="str">
        <f>IF('E-Barrows'!A67&lt;'Adj-Barrows'!$B$10,'E-Barrows'!A67," ")</f>
        <v xml:space="preserve"> </v>
      </c>
      <c r="C67" s="25" t="str">
        <f>IF('E-Barrows'!A67&lt;'Adj-Barrows'!$B$10,'E-Barrows'!C67," ")</f>
        <v xml:space="preserve"> </v>
      </c>
      <c r="D67" s="27" t="str">
        <f>IF('E-Barrows'!A67&lt;'Adj-Barrows'!$B$10,'E-Barrows'!G67," ")</f>
        <v xml:space="preserve"> </v>
      </c>
      <c r="E67" s="26" t="str">
        <f>IF('E-Barrows'!A67&lt;'Adj-Barrows'!$B$10,'E-Barrows'!D67," ")</f>
        <v xml:space="preserve"> </v>
      </c>
      <c r="F67" s="26"/>
      <c r="G67" s="216" t="str">
        <f t="shared" si="1"/>
        <v xml:space="preserve"> </v>
      </c>
      <c r="H67" s="27" t="str">
        <f>IF('E-Barrows'!A67&lt;'Adj-Barrows'!$B$10,'E-Barrows'!I67," ")</f>
        <v xml:space="preserve"> </v>
      </c>
      <c r="I67" s="217" t="str">
        <f>IF('E-Barrows'!A67&lt;'Adj-Barrows'!$B$10,'E-Barrows'!A67," ")</f>
        <v xml:space="preserve"> </v>
      </c>
      <c r="J67" s="25" t="str">
        <f>IF('E-Barrows'!A67&lt;'Adj-Barrows'!$B$10,'E-Barrows'!J67," ")</f>
        <v xml:space="preserve"> </v>
      </c>
      <c r="K67" s="27" t="str">
        <f>IF('E-Barrows'!A67&lt;'Adj-Barrows'!$B$10,'E-Barrows'!N67," ")</f>
        <v xml:space="preserve"> </v>
      </c>
      <c r="L67" s="26" t="str">
        <f>IF('E-Barrows'!A67&lt;'Adj-Barrows'!$B$10,'E-Barrows'!K67," ")</f>
        <v xml:space="preserve"> </v>
      </c>
      <c r="M67" s="27" t="str">
        <f>IF('E-Barrows'!A67&lt;'Adj-Barrows'!$B$10,'E-Barrows'!M67," ")</f>
        <v xml:space="preserve"> </v>
      </c>
      <c r="N67" s="29" t="str">
        <f>IF('E-Barrows'!A67&lt;'Adj-Barrows'!$B$10,1/L67," ")</f>
        <v xml:space="preserve"> </v>
      </c>
      <c r="O67" s="19"/>
      <c r="P67" s="30" t="str">
        <f t="shared" si="2"/>
        <v/>
      </c>
      <c r="Q67" s="30" t="str">
        <f t="shared" si="3"/>
        <v/>
      </c>
      <c r="R67" s="30" t="str">
        <f t="shared" si="4"/>
        <v/>
      </c>
    </row>
    <row r="68" spans="1:18" x14ac:dyDescent="0.25">
      <c r="A68" s="27" t="str">
        <f>IF('E-Barrows'!A68&lt;'Adj-Barrows'!$B$10,'E-Barrows'!B68," ")</f>
        <v xml:space="preserve"> </v>
      </c>
      <c r="B68" s="25" t="str">
        <f>IF('E-Barrows'!A68&lt;'Adj-Barrows'!$B$10,'E-Barrows'!A68," ")</f>
        <v xml:space="preserve"> </v>
      </c>
      <c r="C68" s="25" t="str">
        <f>IF('E-Barrows'!A68&lt;'Adj-Barrows'!$B$10,'E-Barrows'!C68," ")</f>
        <v xml:space="preserve"> </v>
      </c>
      <c r="D68" s="27" t="str">
        <f>IF('E-Barrows'!A68&lt;'Adj-Barrows'!$B$10,'E-Barrows'!G68," ")</f>
        <v xml:space="preserve"> </v>
      </c>
      <c r="E68" s="26" t="str">
        <f>IF('E-Barrows'!A68&lt;'Adj-Barrows'!$B$10,'E-Barrows'!D68," ")</f>
        <v xml:space="preserve"> </v>
      </c>
      <c r="F68" s="26"/>
      <c r="G68" s="216" t="str">
        <f t="shared" ref="G68:G131" si="5">IFERROR(I68,"")</f>
        <v xml:space="preserve"> </v>
      </c>
      <c r="H68" s="27" t="str">
        <f>IF('E-Barrows'!A68&lt;'Adj-Barrows'!$B$10,'E-Barrows'!I68," ")</f>
        <v xml:space="preserve"> </v>
      </c>
      <c r="I68" s="217" t="str">
        <f>IF('E-Barrows'!A68&lt;'Adj-Barrows'!$B$10,'E-Barrows'!A68," ")</f>
        <v xml:space="preserve"> </v>
      </c>
      <c r="J68" s="25" t="str">
        <f>IF('E-Barrows'!A68&lt;'Adj-Barrows'!$B$10,'E-Barrows'!J68," ")</f>
        <v xml:space="preserve"> </v>
      </c>
      <c r="K68" s="27" t="str">
        <f>IF('E-Barrows'!A68&lt;'Adj-Barrows'!$B$10,'E-Barrows'!N68," ")</f>
        <v xml:space="preserve"> </v>
      </c>
      <c r="L68" s="26" t="str">
        <f>IF('E-Barrows'!A68&lt;'Adj-Barrows'!$B$10,'E-Barrows'!K68," ")</f>
        <v xml:space="preserve"> </v>
      </c>
      <c r="M68" s="27" t="str">
        <f>IF('E-Barrows'!A68&lt;'Adj-Barrows'!$B$10,'E-Barrows'!M68," ")</f>
        <v xml:space="preserve"> </v>
      </c>
      <c r="N68" s="29" t="str">
        <f>IF('E-Barrows'!A68&lt;'Adj-Barrows'!$B$10,1/L68," ")</f>
        <v xml:space="preserve"> </v>
      </c>
      <c r="O68" s="19"/>
      <c r="P68" s="30" t="str">
        <f t="shared" si="2"/>
        <v/>
      </c>
      <c r="Q68" s="30" t="str">
        <f t="shared" si="3"/>
        <v/>
      </c>
      <c r="R68" s="30" t="str">
        <f t="shared" si="4"/>
        <v/>
      </c>
    </row>
    <row r="69" spans="1:18" x14ac:dyDescent="0.25">
      <c r="A69" s="27" t="str">
        <f>IF('E-Barrows'!A69&lt;'Adj-Barrows'!$B$10,'E-Barrows'!B69," ")</f>
        <v xml:space="preserve"> </v>
      </c>
      <c r="B69" s="25" t="str">
        <f>IF('E-Barrows'!A69&lt;'Adj-Barrows'!$B$10,'E-Barrows'!A69," ")</f>
        <v xml:space="preserve"> </v>
      </c>
      <c r="C69" s="25" t="str">
        <f>IF('E-Barrows'!A69&lt;'Adj-Barrows'!$B$10,'E-Barrows'!C69," ")</f>
        <v xml:space="preserve"> </v>
      </c>
      <c r="D69" s="27" t="str">
        <f>IF('E-Barrows'!A69&lt;'Adj-Barrows'!$B$10,'E-Barrows'!G69," ")</f>
        <v xml:space="preserve"> </v>
      </c>
      <c r="E69" s="26" t="str">
        <f>IF('E-Barrows'!A69&lt;'Adj-Barrows'!$B$10,'E-Barrows'!D69," ")</f>
        <v xml:space="preserve"> </v>
      </c>
      <c r="F69" s="26"/>
      <c r="G69" s="216" t="str">
        <f t="shared" si="5"/>
        <v xml:space="preserve"> </v>
      </c>
      <c r="H69" s="27" t="str">
        <f>IF('E-Barrows'!A69&lt;'Adj-Barrows'!$B$10,'E-Barrows'!I69," ")</f>
        <v xml:space="preserve"> </v>
      </c>
      <c r="I69" s="217" t="str">
        <f>IF('E-Barrows'!A69&lt;'Adj-Barrows'!$B$10,'E-Barrows'!A69," ")</f>
        <v xml:space="preserve"> </v>
      </c>
      <c r="J69" s="25" t="str">
        <f>IF('E-Barrows'!A69&lt;'Adj-Barrows'!$B$10,'E-Barrows'!J69," ")</f>
        <v xml:space="preserve"> </v>
      </c>
      <c r="K69" s="27" t="str">
        <f>IF('E-Barrows'!A69&lt;'Adj-Barrows'!$B$10,'E-Barrows'!N69," ")</f>
        <v xml:space="preserve"> </v>
      </c>
      <c r="L69" s="26" t="str">
        <f>IF('E-Barrows'!A69&lt;'Adj-Barrows'!$B$10,'E-Barrows'!K69," ")</f>
        <v xml:space="preserve"> </v>
      </c>
      <c r="M69" s="27" t="str">
        <f>IF('E-Barrows'!A69&lt;'Adj-Barrows'!$B$10,'E-Barrows'!M69," ")</f>
        <v xml:space="preserve"> </v>
      </c>
      <c r="N69" s="29" t="str">
        <f>IF('E-Barrows'!A69&lt;'Adj-Barrows'!$B$10,1/L69," ")</f>
        <v xml:space="preserve"> </v>
      </c>
      <c r="O69" s="19"/>
      <c r="P69" s="30" t="str">
        <f t="shared" ref="P69:P132" si="6">IFERROR(IF(J69&lt;0,"",CONVERT(J69,"g", "lbm")),"")</f>
        <v/>
      </c>
      <c r="Q69" s="30" t="str">
        <f t="shared" ref="Q69:Q132" si="7">IFERROR(IF(M69&lt;0,"",CONVERT(M69,"kg", "lbm")),"")</f>
        <v/>
      </c>
      <c r="R69" s="30" t="str">
        <f t="shared" ref="R69:R132" si="8">IFERROR(IF(H69&lt;0,"",CONVERT(H69,"kg", "lbm")),"")</f>
        <v/>
      </c>
    </row>
    <row r="70" spans="1:18" x14ac:dyDescent="0.25">
      <c r="A70" s="27" t="str">
        <f>IF('E-Barrows'!A70&lt;'Adj-Barrows'!$B$10,'E-Barrows'!B70," ")</f>
        <v xml:space="preserve"> </v>
      </c>
      <c r="B70" s="25" t="str">
        <f>IF('E-Barrows'!A70&lt;'Adj-Barrows'!$B$10,'E-Barrows'!A70," ")</f>
        <v xml:space="preserve"> </v>
      </c>
      <c r="C70" s="25" t="str">
        <f>IF('E-Barrows'!A70&lt;'Adj-Barrows'!$B$10,'E-Barrows'!C70," ")</f>
        <v xml:space="preserve"> </v>
      </c>
      <c r="D70" s="27" t="str">
        <f>IF('E-Barrows'!A70&lt;'Adj-Barrows'!$B$10,'E-Barrows'!G70," ")</f>
        <v xml:space="preserve"> </v>
      </c>
      <c r="E70" s="26" t="str">
        <f>IF('E-Barrows'!A70&lt;'Adj-Barrows'!$B$10,'E-Barrows'!D70," ")</f>
        <v xml:space="preserve"> </v>
      </c>
      <c r="F70" s="26"/>
      <c r="G70" s="216" t="str">
        <f t="shared" si="5"/>
        <v xml:space="preserve"> </v>
      </c>
      <c r="H70" s="27" t="str">
        <f>IF('E-Barrows'!A70&lt;'Adj-Barrows'!$B$10,'E-Barrows'!I70," ")</f>
        <v xml:space="preserve"> </v>
      </c>
      <c r="I70" s="217" t="str">
        <f>IF('E-Barrows'!A70&lt;'Adj-Barrows'!$B$10,'E-Barrows'!A70," ")</f>
        <v xml:space="preserve"> </v>
      </c>
      <c r="J70" s="25" t="str">
        <f>IF('E-Barrows'!A70&lt;'Adj-Barrows'!$B$10,'E-Barrows'!J70," ")</f>
        <v xml:space="preserve"> </v>
      </c>
      <c r="K70" s="27" t="str">
        <f>IF('E-Barrows'!A70&lt;'Adj-Barrows'!$B$10,'E-Barrows'!N70," ")</f>
        <v xml:space="preserve"> </v>
      </c>
      <c r="L70" s="26" t="str">
        <f>IF('E-Barrows'!A70&lt;'Adj-Barrows'!$B$10,'E-Barrows'!K70," ")</f>
        <v xml:space="preserve"> </v>
      </c>
      <c r="M70" s="27" t="str">
        <f>IF('E-Barrows'!A70&lt;'Adj-Barrows'!$B$10,'E-Barrows'!M70," ")</f>
        <v xml:space="preserve"> </v>
      </c>
      <c r="N70" s="29" t="str">
        <f>IF('E-Barrows'!A70&lt;'Adj-Barrows'!$B$10,1/L70," ")</f>
        <v xml:space="preserve"> </v>
      </c>
      <c r="O70" s="19"/>
      <c r="P70" s="30" t="str">
        <f t="shared" si="6"/>
        <v/>
      </c>
      <c r="Q70" s="30" t="str">
        <f t="shared" si="7"/>
        <v/>
      </c>
      <c r="R70" s="30" t="str">
        <f t="shared" si="8"/>
        <v/>
      </c>
    </row>
    <row r="71" spans="1:18" x14ac:dyDescent="0.25">
      <c r="A71" s="27" t="str">
        <f>IF('E-Barrows'!A71&lt;'Adj-Barrows'!$B$10,'E-Barrows'!B71," ")</f>
        <v xml:space="preserve"> </v>
      </c>
      <c r="B71" s="25" t="str">
        <f>IF('E-Barrows'!A71&lt;'Adj-Barrows'!$B$10,'E-Barrows'!A71," ")</f>
        <v xml:space="preserve"> </v>
      </c>
      <c r="C71" s="25" t="str">
        <f>IF('E-Barrows'!A71&lt;'Adj-Barrows'!$B$10,'E-Barrows'!C71," ")</f>
        <v xml:space="preserve"> </v>
      </c>
      <c r="D71" s="27" t="str">
        <f>IF('E-Barrows'!A71&lt;'Adj-Barrows'!$B$10,'E-Barrows'!G71," ")</f>
        <v xml:space="preserve"> </v>
      </c>
      <c r="E71" s="26" t="str">
        <f>IF('E-Barrows'!A71&lt;'Adj-Barrows'!$B$10,'E-Barrows'!D71," ")</f>
        <v xml:space="preserve"> </v>
      </c>
      <c r="F71" s="26"/>
      <c r="G71" s="216" t="str">
        <f t="shared" si="5"/>
        <v xml:space="preserve"> </v>
      </c>
      <c r="H71" s="27" t="str">
        <f>IF('E-Barrows'!A71&lt;'Adj-Barrows'!$B$10,'E-Barrows'!I71," ")</f>
        <v xml:space="preserve"> </v>
      </c>
      <c r="I71" s="217" t="str">
        <f>IF('E-Barrows'!A71&lt;'Adj-Barrows'!$B$10,'E-Barrows'!A71," ")</f>
        <v xml:space="preserve"> </v>
      </c>
      <c r="J71" s="25" t="str">
        <f>IF('E-Barrows'!A71&lt;'Adj-Barrows'!$B$10,'E-Barrows'!J71," ")</f>
        <v xml:space="preserve"> </v>
      </c>
      <c r="K71" s="27" t="str">
        <f>IF('E-Barrows'!A71&lt;'Adj-Barrows'!$B$10,'E-Barrows'!N71," ")</f>
        <v xml:space="preserve"> </v>
      </c>
      <c r="L71" s="26" t="str">
        <f>IF('E-Barrows'!A71&lt;'Adj-Barrows'!$B$10,'E-Barrows'!K71," ")</f>
        <v xml:space="preserve"> </v>
      </c>
      <c r="M71" s="27" t="str">
        <f>IF('E-Barrows'!A71&lt;'Adj-Barrows'!$B$10,'E-Barrows'!M71," ")</f>
        <v xml:space="preserve"> </v>
      </c>
      <c r="N71" s="29" t="str">
        <f>IF('E-Barrows'!A71&lt;'Adj-Barrows'!$B$10,1/L71," ")</f>
        <v xml:space="preserve"> </v>
      </c>
      <c r="O71" s="19"/>
      <c r="P71" s="30" t="str">
        <f t="shared" si="6"/>
        <v/>
      </c>
      <c r="Q71" s="30" t="str">
        <f t="shared" si="7"/>
        <v/>
      </c>
      <c r="R71" s="30" t="str">
        <f t="shared" si="8"/>
        <v/>
      </c>
    </row>
    <row r="72" spans="1:18" x14ac:dyDescent="0.25">
      <c r="A72" s="27" t="str">
        <f>IF('E-Barrows'!A72&lt;'Adj-Barrows'!$B$10,'E-Barrows'!B72," ")</f>
        <v xml:space="preserve"> </v>
      </c>
      <c r="B72" s="25" t="str">
        <f>IF('E-Barrows'!A72&lt;'Adj-Barrows'!$B$10,'E-Barrows'!A72," ")</f>
        <v xml:space="preserve"> </v>
      </c>
      <c r="C72" s="25" t="str">
        <f>IF('E-Barrows'!A72&lt;'Adj-Barrows'!$B$10,'E-Barrows'!C72," ")</f>
        <v xml:space="preserve"> </v>
      </c>
      <c r="D72" s="27" t="str">
        <f>IF('E-Barrows'!A72&lt;'Adj-Barrows'!$B$10,'E-Barrows'!G72," ")</f>
        <v xml:space="preserve"> </v>
      </c>
      <c r="E72" s="26" t="str">
        <f>IF('E-Barrows'!A72&lt;'Adj-Barrows'!$B$10,'E-Barrows'!D72," ")</f>
        <v xml:space="preserve"> </v>
      </c>
      <c r="F72" s="26"/>
      <c r="G72" s="216" t="str">
        <f t="shared" si="5"/>
        <v xml:space="preserve"> </v>
      </c>
      <c r="H72" s="27" t="str">
        <f>IF('E-Barrows'!A72&lt;'Adj-Barrows'!$B$10,'E-Barrows'!I72," ")</f>
        <v xml:space="preserve"> </v>
      </c>
      <c r="I72" s="217" t="str">
        <f>IF('E-Barrows'!A72&lt;'Adj-Barrows'!$B$10,'E-Barrows'!A72," ")</f>
        <v xml:space="preserve"> </v>
      </c>
      <c r="J72" s="25" t="str">
        <f>IF('E-Barrows'!A72&lt;'Adj-Barrows'!$B$10,'E-Barrows'!J72," ")</f>
        <v xml:space="preserve"> </v>
      </c>
      <c r="K72" s="27" t="str">
        <f>IF('E-Barrows'!A72&lt;'Adj-Barrows'!$B$10,'E-Barrows'!N72," ")</f>
        <v xml:space="preserve"> </v>
      </c>
      <c r="L72" s="26" t="str">
        <f>IF('E-Barrows'!A72&lt;'Adj-Barrows'!$B$10,'E-Barrows'!K72," ")</f>
        <v xml:space="preserve"> </v>
      </c>
      <c r="M72" s="27" t="str">
        <f>IF('E-Barrows'!A72&lt;'Adj-Barrows'!$B$10,'E-Barrows'!M72," ")</f>
        <v xml:space="preserve"> </v>
      </c>
      <c r="N72" s="29" t="str">
        <f>IF('E-Barrows'!A72&lt;'Adj-Barrows'!$B$10,1/L72," ")</f>
        <v xml:space="preserve"> </v>
      </c>
      <c r="O72" s="19"/>
      <c r="P72" s="30" t="str">
        <f t="shared" si="6"/>
        <v/>
      </c>
      <c r="Q72" s="30" t="str">
        <f t="shared" si="7"/>
        <v/>
      </c>
      <c r="R72" s="30" t="str">
        <f t="shared" si="8"/>
        <v/>
      </c>
    </row>
    <row r="73" spans="1:18" x14ac:dyDescent="0.25">
      <c r="A73" s="27" t="str">
        <f>IF('E-Barrows'!A73&lt;'Adj-Barrows'!$B$10,'E-Barrows'!B73," ")</f>
        <v xml:space="preserve"> </v>
      </c>
      <c r="B73" s="25" t="str">
        <f>IF('E-Barrows'!A73&lt;'Adj-Barrows'!$B$10,'E-Barrows'!A73," ")</f>
        <v xml:space="preserve"> </v>
      </c>
      <c r="C73" s="25" t="str">
        <f>IF('E-Barrows'!A73&lt;'Adj-Barrows'!$B$10,'E-Barrows'!C73," ")</f>
        <v xml:space="preserve"> </v>
      </c>
      <c r="D73" s="27" t="str">
        <f>IF('E-Barrows'!A73&lt;'Adj-Barrows'!$B$10,'E-Barrows'!G73," ")</f>
        <v xml:space="preserve"> </v>
      </c>
      <c r="E73" s="26" t="str">
        <f>IF('E-Barrows'!A73&lt;'Adj-Barrows'!$B$10,'E-Barrows'!D73," ")</f>
        <v xml:space="preserve"> </v>
      </c>
      <c r="F73" s="26"/>
      <c r="G73" s="216" t="str">
        <f t="shared" si="5"/>
        <v xml:space="preserve"> </v>
      </c>
      <c r="H73" s="27" t="str">
        <f>IF('E-Barrows'!A73&lt;'Adj-Barrows'!$B$10,'E-Barrows'!I73," ")</f>
        <v xml:space="preserve"> </v>
      </c>
      <c r="I73" s="217" t="str">
        <f>IF('E-Barrows'!A73&lt;'Adj-Barrows'!$B$10,'E-Barrows'!A73," ")</f>
        <v xml:space="preserve"> </v>
      </c>
      <c r="J73" s="25" t="str">
        <f>IF('E-Barrows'!A73&lt;'Adj-Barrows'!$B$10,'E-Barrows'!J73," ")</f>
        <v xml:space="preserve"> </v>
      </c>
      <c r="K73" s="27" t="str">
        <f>IF('E-Barrows'!A73&lt;'Adj-Barrows'!$B$10,'E-Barrows'!N73," ")</f>
        <v xml:space="preserve"> </v>
      </c>
      <c r="L73" s="26" t="str">
        <f>IF('E-Barrows'!A73&lt;'Adj-Barrows'!$B$10,'E-Barrows'!K73," ")</f>
        <v xml:space="preserve"> </v>
      </c>
      <c r="M73" s="27" t="str">
        <f>IF('E-Barrows'!A73&lt;'Adj-Barrows'!$B$10,'E-Barrows'!M73," ")</f>
        <v xml:space="preserve"> </v>
      </c>
      <c r="N73" s="29" t="str">
        <f>IF('E-Barrows'!A73&lt;'Adj-Barrows'!$B$10,1/L73," ")</f>
        <v xml:space="preserve"> </v>
      </c>
      <c r="O73" s="19"/>
      <c r="P73" s="30" t="str">
        <f t="shared" si="6"/>
        <v/>
      </c>
      <c r="Q73" s="30" t="str">
        <f t="shared" si="7"/>
        <v/>
      </c>
      <c r="R73" s="30" t="str">
        <f t="shared" si="8"/>
        <v/>
      </c>
    </row>
    <row r="74" spans="1:18" x14ac:dyDescent="0.25">
      <c r="A74" s="27" t="str">
        <f>IF('E-Barrows'!A74&lt;'Adj-Barrows'!$B$10,'E-Barrows'!B74," ")</f>
        <v xml:space="preserve"> </v>
      </c>
      <c r="B74" s="25" t="str">
        <f>IF('E-Barrows'!A74&lt;'Adj-Barrows'!$B$10,'E-Barrows'!A74," ")</f>
        <v xml:space="preserve"> </v>
      </c>
      <c r="C74" s="25" t="str">
        <f>IF('E-Barrows'!A74&lt;'Adj-Barrows'!$B$10,'E-Barrows'!C74," ")</f>
        <v xml:space="preserve"> </v>
      </c>
      <c r="D74" s="27" t="str">
        <f>IF('E-Barrows'!A74&lt;'Adj-Barrows'!$B$10,'E-Barrows'!G74," ")</f>
        <v xml:space="preserve"> </v>
      </c>
      <c r="E74" s="26" t="str">
        <f>IF('E-Barrows'!A74&lt;'Adj-Barrows'!$B$10,'E-Barrows'!D74," ")</f>
        <v xml:space="preserve"> </v>
      </c>
      <c r="F74" s="26"/>
      <c r="G74" s="216" t="str">
        <f t="shared" si="5"/>
        <v xml:space="preserve"> </v>
      </c>
      <c r="H74" s="27" t="str">
        <f>IF('E-Barrows'!A74&lt;'Adj-Barrows'!$B$10,'E-Barrows'!I74," ")</f>
        <v xml:space="preserve"> </v>
      </c>
      <c r="I74" s="217" t="str">
        <f>IF('E-Barrows'!A74&lt;'Adj-Barrows'!$B$10,'E-Barrows'!A74," ")</f>
        <v xml:space="preserve"> </v>
      </c>
      <c r="J74" s="25" t="str">
        <f>IF('E-Barrows'!A74&lt;'Adj-Barrows'!$B$10,'E-Barrows'!J74," ")</f>
        <v xml:space="preserve"> </v>
      </c>
      <c r="K74" s="27" t="str">
        <f>IF('E-Barrows'!A74&lt;'Adj-Barrows'!$B$10,'E-Barrows'!N74," ")</f>
        <v xml:space="preserve"> </v>
      </c>
      <c r="L74" s="26" t="str">
        <f>IF('E-Barrows'!A74&lt;'Adj-Barrows'!$B$10,'E-Barrows'!K74," ")</f>
        <v xml:space="preserve"> </v>
      </c>
      <c r="M74" s="27" t="str">
        <f>IF('E-Barrows'!A74&lt;'Adj-Barrows'!$B$10,'E-Barrows'!M74," ")</f>
        <v xml:space="preserve"> </v>
      </c>
      <c r="N74" s="29" t="str">
        <f>IF('E-Barrows'!A74&lt;'Adj-Barrows'!$B$10,1/L74," ")</f>
        <v xml:space="preserve"> </v>
      </c>
      <c r="O74" s="19"/>
      <c r="P74" s="30" t="str">
        <f t="shared" si="6"/>
        <v/>
      </c>
      <c r="Q74" s="30" t="str">
        <f t="shared" si="7"/>
        <v/>
      </c>
      <c r="R74" s="30" t="str">
        <f t="shared" si="8"/>
        <v/>
      </c>
    </row>
    <row r="75" spans="1:18" x14ac:dyDescent="0.25">
      <c r="A75" s="27" t="str">
        <f>IF('E-Barrows'!A75&lt;'Adj-Barrows'!$B$10,'E-Barrows'!B75," ")</f>
        <v xml:space="preserve"> </v>
      </c>
      <c r="B75" s="25" t="str">
        <f>IF('E-Barrows'!A75&lt;'Adj-Barrows'!$B$10,'E-Barrows'!A75," ")</f>
        <v xml:space="preserve"> </v>
      </c>
      <c r="C75" s="25" t="str">
        <f>IF('E-Barrows'!A75&lt;'Adj-Barrows'!$B$10,'E-Barrows'!C75," ")</f>
        <v xml:space="preserve"> </v>
      </c>
      <c r="D75" s="27" t="str">
        <f>IF('E-Barrows'!A75&lt;'Adj-Barrows'!$B$10,'E-Barrows'!G75," ")</f>
        <v xml:space="preserve"> </v>
      </c>
      <c r="E75" s="26" t="str">
        <f>IF('E-Barrows'!A75&lt;'Adj-Barrows'!$B$10,'E-Barrows'!D75," ")</f>
        <v xml:space="preserve"> </v>
      </c>
      <c r="F75" s="26"/>
      <c r="G75" s="216" t="str">
        <f t="shared" si="5"/>
        <v xml:space="preserve"> </v>
      </c>
      <c r="H75" s="27" t="str">
        <f>IF('E-Barrows'!A75&lt;'Adj-Barrows'!$B$10,'E-Barrows'!I75," ")</f>
        <v xml:space="preserve"> </v>
      </c>
      <c r="I75" s="217" t="str">
        <f>IF('E-Barrows'!A75&lt;'Adj-Barrows'!$B$10,'E-Barrows'!A75," ")</f>
        <v xml:space="preserve"> </v>
      </c>
      <c r="J75" s="25" t="str">
        <f>IF('E-Barrows'!A75&lt;'Adj-Barrows'!$B$10,'E-Barrows'!J75," ")</f>
        <v xml:space="preserve"> </v>
      </c>
      <c r="K75" s="27" t="str">
        <f>IF('E-Barrows'!A75&lt;'Adj-Barrows'!$B$10,'E-Barrows'!N75," ")</f>
        <v xml:space="preserve"> </v>
      </c>
      <c r="L75" s="26" t="str">
        <f>IF('E-Barrows'!A75&lt;'Adj-Barrows'!$B$10,'E-Barrows'!K75," ")</f>
        <v xml:space="preserve"> </v>
      </c>
      <c r="M75" s="27" t="str">
        <f>IF('E-Barrows'!A75&lt;'Adj-Barrows'!$B$10,'E-Barrows'!M75," ")</f>
        <v xml:space="preserve"> </v>
      </c>
      <c r="N75" s="29" t="str">
        <f>IF('E-Barrows'!A75&lt;'Adj-Barrows'!$B$10,1/L75," ")</f>
        <v xml:space="preserve"> </v>
      </c>
      <c r="O75" s="19"/>
      <c r="P75" s="30" t="str">
        <f t="shared" si="6"/>
        <v/>
      </c>
      <c r="Q75" s="30" t="str">
        <f t="shared" si="7"/>
        <v/>
      </c>
      <c r="R75" s="30" t="str">
        <f t="shared" si="8"/>
        <v/>
      </c>
    </row>
    <row r="76" spans="1:18" x14ac:dyDescent="0.25">
      <c r="A76" s="27" t="str">
        <f>IF('E-Barrows'!A76&lt;'Adj-Barrows'!$B$10,'E-Barrows'!B76," ")</f>
        <v xml:space="preserve"> </v>
      </c>
      <c r="B76" s="25" t="str">
        <f>IF('E-Barrows'!A76&lt;'Adj-Barrows'!$B$10,'E-Barrows'!A76," ")</f>
        <v xml:space="preserve"> </v>
      </c>
      <c r="C76" s="25" t="str">
        <f>IF('E-Barrows'!A76&lt;'Adj-Barrows'!$B$10,'E-Barrows'!C76," ")</f>
        <v xml:space="preserve"> </v>
      </c>
      <c r="D76" s="27" t="str">
        <f>IF('E-Barrows'!A76&lt;'Adj-Barrows'!$B$10,'E-Barrows'!G76," ")</f>
        <v xml:space="preserve"> </v>
      </c>
      <c r="E76" s="26" t="str">
        <f>IF('E-Barrows'!A76&lt;'Adj-Barrows'!$B$10,'E-Barrows'!D76," ")</f>
        <v xml:space="preserve"> </v>
      </c>
      <c r="F76" s="26"/>
      <c r="G76" s="216" t="str">
        <f t="shared" si="5"/>
        <v xml:space="preserve"> </v>
      </c>
      <c r="H76" s="27" t="str">
        <f>IF('E-Barrows'!A76&lt;'Adj-Barrows'!$B$10,'E-Barrows'!I76," ")</f>
        <v xml:space="preserve"> </v>
      </c>
      <c r="I76" s="217" t="str">
        <f>IF('E-Barrows'!A76&lt;'Adj-Barrows'!$B$10,'E-Barrows'!A76," ")</f>
        <v xml:space="preserve"> </v>
      </c>
      <c r="J76" s="25" t="str">
        <f>IF('E-Barrows'!A76&lt;'Adj-Barrows'!$B$10,'E-Barrows'!J76," ")</f>
        <v xml:space="preserve"> </v>
      </c>
      <c r="K76" s="27" t="str">
        <f>IF('E-Barrows'!A76&lt;'Adj-Barrows'!$B$10,'E-Barrows'!N76," ")</f>
        <v xml:space="preserve"> </v>
      </c>
      <c r="L76" s="26" t="str">
        <f>IF('E-Barrows'!A76&lt;'Adj-Barrows'!$B$10,'E-Barrows'!K76," ")</f>
        <v xml:space="preserve"> </v>
      </c>
      <c r="M76" s="27" t="str">
        <f>IF('E-Barrows'!A76&lt;'Adj-Barrows'!$B$10,'E-Barrows'!M76," ")</f>
        <v xml:space="preserve"> </v>
      </c>
      <c r="N76" s="29" t="str">
        <f>IF('E-Barrows'!A76&lt;'Adj-Barrows'!$B$10,1/L76," ")</f>
        <v xml:space="preserve"> </v>
      </c>
      <c r="O76" s="19"/>
      <c r="P76" s="30" t="str">
        <f t="shared" si="6"/>
        <v/>
      </c>
      <c r="Q76" s="30" t="str">
        <f t="shared" si="7"/>
        <v/>
      </c>
      <c r="R76" s="30" t="str">
        <f t="shared" si="8"/>
        <v/>
      </c>
    </row>
    <row r="77" spans="1:18" x14ac:dyDescent="0.25">
      <c r="A77" s="27" t="str">
        <f>IF('E-Barrows'!A77&lt;'Adj-Barrows'!$B$10,'E-Barrows'!B77," ")</f>
        <v xml:space="preserve"> </v>
      </c>
      <c r="B77" s="25" t="str">
        <f>IF('E-Barrows'!A77&lt;'Adj-Barrows'!$B$10,'E-Barrows'!A77," ")</f>
        <v xml:space="preserve"> </v>
      </c>
      <c r="C77" s="25" t="str">
        <f>IF('E-Barrows'!A77&lt;'Adj-Barrows'!$B$10,'E-Barrows'!C77," ")</f>
        <v xml:space="preserve"> </v>
      </c>
      <c r="D77" s="27" t="str">
        <f>IF('E-Barrows'!A77&lt;'Adj-Barrows'!$B$10,'E-Barrows'!G77," ")</f>
        <v xml:space="preserve"> </v>
      </c>
      <c r="E77" s="26" t="str">
        <f>IF('E-Barrows'!A77&lt;'Adj-Barrows'!$B$10,'E-Barrows'!D77," ")</f>
        <v xml:space="preserve"> </v>
      </c>
      <c r="F77" s="26"/>
      <c r="G77" s="216" t="str">
        <f t="shared" si="5"/>
        <v xml:space="preserve"> </v>
      </c>
      <c r="H77" s="27" t="str">
        <f>IF('E-Barrows'!A77&lt;'Adj-Barrows'!$B$10,'E-Barrows'!I77," ")</f>
        <v xml:space="preserve"> </v>
      </c>
      <c r="I77" s="217" t="str">
        <f>IF('E-Barrows'!A77&lt;'Adj-Barrows'!$B$10,'E-Barrows'!A77," ")</f>
        <v xml:space="preserve"> </v>
      </c>
      <c r="J77" s="25" t="str">
        <f>IF('E-Barrows'!A77&lt;'Adj-Barrows'!$B$10,'E-Barrows'!J77," ")</f>
        <v xml:space="preserve"> </v>
      </c>
      <c r="K77" s="27" t="str">
        <f>IF('E-Barrows'!A77&lt;'Adj-Barrows'!$B$10,'E-Barrows'!N77," ")</f>
        <v xml:space="preserve"> </v>
      </c>
      <c r="L77" s="26" t="str">
        <f>IF('E-Barrows'!A77&lt;'Adj-Barrows'!$B$10,'E-Barrows'!K77," ")</f>
        <v xml:space="preserve"> </v>
      </c>
      <c r="M77" s="27" t="str">
        <f>IF('E-Barrows'!A77&lt;'Adj-Barrows'!$B$10,'E-Barrows'!M77," ")</f>
        <v xml:space="preserve"> </v>
      </c>
      <c r="N77" s="29" t="str">
        <f>IF('E-Barrows'!A77&lt;'Adj-Barrows'!$B$10,1/L77," ")</f>
        <v xml:space="preserve"> </v>
      </c>
      <c r="O77" s="19"/>
      <c r="P77" s="30" t="str">
        <f t="shared" si="6"/>
        <v/>
      </c>
      <c r="Q77" s="30" t="str">
        <f t="shared" si="7"/>
        <v/>
      </c>
      <c r="R77" s="30" t="str">
        <f t="shared" si="8"/>
        <v/>
      </c>
    </row>
    <row r="78" spans="1:18" x14ac:dyDescent="0.25">
      <c r="A78" s="27" t="str">
        <f>IF('E-Barrows'!A78&lt;'Adj-Barrows'!$B$10,'E-Barrows'!B78," ")</f>
        <v xml:space="preserve"> </v>
      </c>
      <c r="B78" s="25" t="str">
        <f>IF('E-Barrows'!A78&lt;'Adj-Barrows'!$B$10,'E-Barrows'!A78," ")</f>
        <v xml:space="preserve"> </v>
      </c>
      <c r="C78" s="25" t="str">
        <f>IF('E-Barrows'!A78&lt;'Adj-Barrows'!$B$10,'E-Barrows'!C78," ")</f>
        <v xml:space="preserve"> </v>
      </c>
      <c r="D78" s="27" t="str">
        <f>IF('E-Barrows'!A78&lt;'Adj-Barrows'!$B$10,'E-Barrows'!G78," ")</f>
        <v xml:space="preserve"> </v>
      </c>
      <c r="E78" s="26" t="str">
        <f>IF('E-Barrows'!A78&lt;'Adj-Barrows'!$B$10,'E-Barrows'!D78," ")</f>
        <v xml:space="preserve"> </v>
      </c>
      <c r="F78" s="26"/>
      <c r="G78" s="216" t="str">
        <f t="shared" si="5"/>
        <v xml:space="preserve"> </v>
      </c>
      <c r="H78" s="27" t="str">
        <f>IF('E-Barrows'!A78&lt;'Adj-Barrows'!$B$10,'E-Barrows'!I78," ")</f>
        <v xml:space="preserve"> </v>
      </c>
      <c r="I78" s="217" t="str">
        <f>IF('E-Barrows'!A78&lt;'Adj-Barrows'!$B$10,'E-Barrows'!A78," ")</f>
        <v xml:space="preserve"> </v>
      </c>
      <c r="J78" s="25" t="str">
        <f>IF('E-Barrows'!A78&lt;'Adj-Barrows'!$B$10,'E-Barrows'!J78," ")</f>
        <v xml:space="preserve"> </v>
      </c>
      <c r="K78" s="27" t="str">
        <f>IF('E-Barrows'!A78&lt;'Adj-Barrows'!$B$10,'E-Barrows'!N78," ")</f>
        <v xml:space="preserve"> </v>
      </c>
      <c r="L78" s="26" t="str">
        <f>IF('E-Barrows'!A78&lt;'Adj-Barrows'!$B$10,'E-Barrows'!K78," ")</f>
        <v xml:space="preserve"> </v>
      </c>
      <c r="M78" s="27" t="str">
        <f>IF('E-Barrows'!A78&lt;'Adj-Barrows'!$B$10,'E-Barrows'!M78," ")</f>
        <v xml:space="preserve"> </v>
      </c>
      <c r="N78" s="29" t="str">
        <f>IF('E-Barrows'!A78&lt;'Adj-Barrows'!$B$10,1/L78," ")</f>
        <v xml:space="preserve"> </v>
      </c>
      <c r="O78" s="19"/>
      <c r="P78" s="30" t="str">
        <f t="shared" si="6"/>
        <v/>
      </c>
      <c r="Q78" s="30" t="str">
        <f t="shared" si="7"/>
        <v/>
      </c>
      <c r="R78" s="30" t="str">
        <f t="shared" si="8"/>
        <v/>
      </c>
    </row>
    <row r="79" spans="1:18" x14ac:dyDescent="0.25">
      <c r="A79" s="27" t="str">
        <f>IF('E-Barrows'!A79&lt;'Adj-Barrows'!$B$10,'E-Barrows'!B79," ")</f>
        <v xml:space="preserve"> </v>
      </c>
      <c r="B79" s="25" t="str">
        <f>IF('E-Barrows'!A79&lt;'Adj-Barrows'!$B$10,'E-Barrows'!A79," ")</f>
        <v xml:space="preserve"> </v>
      </c>
      <c r="C79" s="25" t="str">
        <f>IF('E-Barrows'!A79&lt;'Adj-Barrows'!$B$10,'E-Barrows'!C79," ")</f>
        <v xml:space="preserve"> </v>
      </c>
      <c r="D79" s="27" t="str">
        <f>IF('E-Barrows'!A79&lt;'Adj-Barrows'!$B$10,'E-Barrows'!G79," ")</f>
        <v xml:space="preserve"> </v>
      </c>
      <c r="E79" s="26" t="str">
        <f>IF('E-Barrows'!A79&lt;'Adj-Barrows'!$B$10,'E-Barrows'!D79," ")</f>
        <v xml:space="preserve"> </v>
      </c>
      <c r="F79" s="26"/>
      <c r="G79" s="216" t="str">
        <f t="shared" si="5"/>
        <v xml:space="preserve"> </v>
      </c>
      <c r="H79" s="27" t="str">
        <f>IF('E-Barrows'!A79&lt;'Adj-Barrows'!$B$10,'E-Barrows'!I79," ")</f>
        <v xml:space="preserve"> </v>
      </c>
      <c r="I79" s="217" t="str">
        <f>IF('E-Barrows'!A79&lt;'Adj-Barrows'!$B$10,'E-Barrows'!A79," ")</f>
        <v xml:space="preserve"> </v>
      </c>
      <c r="J79" s="25" t="str">
        <f>IF('E-Barrows'!A79&lt;'Adj-Barrows'!$B$10,'E-Barrows'!J79," ")</f>
        <v xml:space="preserve"> </v>
      </c>
      <c r="K79" s="27" t="str">
        <f>IF('E-Barrows'!A79&lt;'Adj-Barrows'!$B$10,'E-Barrows'!N79," ")</f>
        <v xml:space="preserve"> </v>
      </c>
      <c r="L79" s="26" t="str">
        <f>IF('E-Barrows'!A79&lt;'Adj-Barrows'!$B$10,'E-Barrows'!K79," ")</f>
        <v xml:space="preserve"> </v>
      </c>
      <c r="M79" s="27" t="str">
        <f>IF('E-Barrows'!A79&lt;'Adj-Barrows'!$B$10,'E-Barrows'!M79," ")</f>
        <v xml:space="preserve"> </v>
      </c>
      <c r="N79" s="29" t="str">
        <f>IF('E-Barrows'!A79&lt;'Adj-Barrows'!$B$10,1/L79," ")</f>
        <v xml:space="preserve"> </v>
      </c>
      <c r="O79" s="19"/>
      <c r="P79" s="30" t="str">
        <f t="shared" si="6"/>
        <v/>
      </c>
      <c r="Q79" s="30" t="str">
        <f t="shared" si="7"/>
        <v/>
      </c>
      <c r="R79" s="30" t="str">
        <f t="shared" si="8"/>
        <v/>
      </c>
    </row>
    <row r="80" spans="1:18" x14ac:dyDescent="0.25">
      <c r="A80" s="27" t="str">
        <f>IF('E-Barrows'!A80&lt;'Adj-Barrows'!$B$10,'E-Barrows'!B80," ")</f>
        <v xml:space="preserve"> </v>
      </c>
      <c r="B80" s="25" t="str">
        <f>IF('E-Barrows'!A80&lt;'Adj-Barrows'!$B$10,'E-Barrows'!A80," ")</f>
        <v xml:space="preserve"> </v>
      </c>
      <c r="C80" s="25" t="str">
        <f>IF('E-Barrows'!A80&lt;'Adj-Barrows'!$B$10,'E-Barrows'!C80," ")</f>
        <v xml:space="preserve"> </v>
      </c>
      <c r="D80" s="27" t="str">
        <f>IF('E-Barrows'!A80&lt;'Adj-Barrows'!$B$10,'E-Barrows'!G80," ")</f>
        <v xml:space="preserve"> </v>
      </c>
      <c r="E80" s="26" t="str">
        <f>IF('E-Barrows'!A80&lt;'Adj-Barrows'!$B$10,'E-Barrows'!D80," ")</f>
        <v xml:space="preserve"> </v>
      </c>
      <c r="F80" s="26"/>
      <c r="G80" s="216" t="str">
        <f t="shared" si="5"/>
        <v xml:space="preserve"> </v>
      </c>
      <c r="H80" s="27" t="str">
        <f>IF('E-Barrows'!A80&lt;'Adj-Barrows'!$B$10,'E-Barrows'!I80," ")</f>
        <v xml:space="preserve"> </v>
      </c>
      <c r="I80" s="217" t="str">
        <f>IF('E-Barrows'!A80&lt;'Adj-Barrows'!$B$10,'E-Barrows'!A80," ")</f>
        <v xml:space="preserve"> </v>
      </c>
      <c r="J80" s="25" t="str">
        <f>IF('E-Barrows'!A80&lt;'Adj-Barrows'!$B$10,'E-Barrows'!J80," ")</f>
        <v xml:space="preserve"> </v>
      </c>
      <c r="K80" s="27" t="str">
        <f>IF('E-Barrows'!A80&lt;'Adj-Barrows'!$B$10,'E-Barrows'!N80," ")</f>
        <v xml:space="preserve"> </v>
      </c>
      <c r="L80" s="26" t="str">
        <f>IF('E-Barrows'!A80&lt;'Adj-Barrows'!$B$10,'E-Barrows'!K80," ")</f>
        <v xml:space="preserve"> </v>
      </c>
      <c r="M80" s="27" t="str">
        <f>IF('E-Barrows'!A80&lt;'Adj-Barrows'!$B$10,'E-Barrows'!M80," ")</f>
        <v xml:space="preserve"> </v>
      </c>
      <c r="N80" s="29" t="str">
        <f>IF('E-Barrows'!A80&lt;'Adj-Barrows'!$B$10,1/L80," ")</f>
        <v xml:space="preserve"> </v>
      </c>
      <c r="O80" s="19"/>
      <c r="P80" s="30" t="str">
        <f t="shared" si="6"/>
        <v/>
      </c>
      <c r="Q80" s="30" t="str">
        <f t="shared" si="7"/>
        <v/>
      </c>
      <c r="R80" s="30" t="str">
        <f t="shared" si="8"/>
        <v/>
      </c>
    </row>
    <row r="81" spans="1:18" x14ac:dyDescent="0.25">
      <c r="A81" s="27" t="str">
        <f>IF('E-Barrows'!A81&lt;'Adj-Barrows'!$B$10,'E-Barrows'!B81," ")</f>
        <v xml:space="preserve"> </v>
      </c>
      <c r="B81" s="25" t="str">
        <f>IF('E-Barrows'!A81&lt;'Adj-Barrows'!$B$10,'E-Barrows'!A81," ")</f>
        <v xml:space="preserve"> </v>
      </c>
      <c r="C81" s="25" t="str">
        <f>IF('E-Barrows'!A81&lt;'Adj-Barrows'!$B$10,'E-Barrows'!C81," ")</f>
        <v xml:space="preserve"> </v>
      </c>
      <c r="D81" s="27" t="str">
        <f>IF('E-Barrows'!A81&lt;'Adj-Barrows'!$B$10,'E-Barrows'!G81," ")</f>
        <v xml:space="preserve"> </v>
      </c>
      <c r="E81" s="26" t="str">
        <f>IF('E-Barrows'!A81&lt;'Adj-Barrows'!$B$10,'E-Barrows'!D81," ")</f>
        <v xml:space="preserve"> </v>
      </c>
      <c r="F81" s="26"/>
      <c r="G81" s="216" t="str">
        <f t="shared" si="5"/>
        <v xml:space="preserve"> </v>
      </c>
      <c r="H81" s="27" t="str">
        <f>IF('E-Barrows'!A81&lt;'Adj-Barrows'!$B$10,'E-Barrows'!I81," ")</f>
        <v xml:space="preserve"> </v>
      </c>
      <c r="I81" s="217" t="str">
        <f>IF('E-Barrows'!A81&lt;'Adj-Barrows'!$B$10,'E-Barrows'!A81," ")</f>
        <v xml:space="preserve"> </v>
      </c>
      <c r="J81" s="25" t="str">
        <f>IF('E-Barrows'!A81&lt;'Adj-Barrows'!$B$10,'E-Barrows'!J81," ")</f>
        <v xml:space="preserve"> </v>
      </c>
      <c r="K81" s="27" t="str">
        <f>IF('E-Barrows'!A81&lt;'Adj-Barrows'!$B$10,'E-Barrows'!N81," ")</f>
        <v xml:space="preserve"> </v>
      </c>
      <c r="L81" s="26" t="str">
        <f>IF('E-Barrows'!A81&lt;'Adj-Barrows'!$B$10,'E-Barrows'!K81," ")</f>
        <v xml:space="preserve"> </v>
      </c>
      <c r="M81" s="27" t="str">
        <f>IF('E-Barrows'!A81&lt;'Adj-Barrows'!$B$10,'E-Barrows'!M81," ")</f>
        <v xml:space="preserve"> </v>
      </c>
      <c r="N81" s="29" t="str">
        <f>IF('E-Barrows'!A81&lt;'Adj-Barrows'!$B$10,1/L81," ")</f>
        <v xml:space="preserve"> </v>
      </c>
      <c r="O81" s="19"/>
      <c r="P81" s="30" t="str">
        <f t="shared" si="6"/>
        <v/>
      </c>
      <c r="Q81" s="30" t="str">
        <f t="shared" si="7"/>
        <v/>
      </c>
      <c r="R81" s="30" t="str">
        <f t="shared" si="8"/>
        <v/>
      </c>
    </row>
    <row r="82" spans="1:18" x14ac:dyDescent="0.25">
      <c r="A82" s="27" t="str">
        <f>IF('E-Barrows'!A82&lt;'Adj-Barrows'!$B$10,'E-Barrows'!B82," ")</f>
        <v xml:space="preserve"> </v>
      </c>
      <c r="B82" s="25" t="str">
        <f>IF('E-Barrows'!A82&lt;'Adj-Barrows'!$B$10,'E-Barrows'!A82," ")</f>
        <v xml:space="preserve"> </v>
      </c>
      <c r="C82" s="25" t="str">
        <f>IF('E-Barrows'!A82&lt;'Adj-Barrows'!$B$10,'E-Barrows'!C82," ")</f>
        <v xml:space="preserve"> </v>
      </c>
      <c r="D82" s="27" t="str">
        <f>IF('E-Barrows'!A82&lt;'Adj-Barrows'!$B$10,'E-Barrows'!G82," ")</f>
        <v xml:space="preserve"> </v>
      </c>
      <c r="E82" s="26" t="str">
        <f>IF('E-Barrows'!A82&lt;'Adj-Barrows'!$B$10,'E-Barrows'!D82," ")</f>
        <v xml:space="preserve"> </v>
      </c>
      <c r="F82" s="26"/>
      <c r="G82" s="216" t="str">
        <f t="shared" si="5"/>
        <v xml:space="preserve"> </v>
      </c>
      <c r="H82" s="27" t="str">
        <f>IF('E-Barrows'!A82&lt;'Adj-Barrows'!$B$10,'E-Barrows'!I82," ")</f>
        <v xml:space="preserve"> </v>
      </c>
      <c r="I82" s="217" t="str">
        <f>IF('E-Barrows'!A82&lt;'Adj-Barrows'!$B$10,'E-Barrows'!A82," ")</f>
        <v xml:space="preserve"> </v>
      </c>
      <c r="J82" s="25" t="str">
        <f>IF('E-Barrows'!A82&lt;'Adj-Barrows'!$B$10,'E-Barrows'!J82," ")</f>
        <v xml:space="preserve"> </v>
      </c>
      <c r="K82" s="27" t="str">
        <f>IF('E-Barrows'!A82&lt;'Adj-Barrows'!$B$10,'E-Barrows'!N82," ")</f>
        <v xml:space="preserve"> </v>
      </c>
      <c r="L82" s="26" t="str">
        <f>IF('E-Barrows'!A82&lt;'Adj-Barrows'!$B$10,'E-Barrows'!K82," ")</f>
        <v xml:space="preserve"> </v>
      </c>
      <c r="M82" s="27" t="str">
        <f>IF('E-Barrows'!A82&lt;'Adj-Barrows'!$B$10,'E-Barrows'!M82," ")</f>
        <v xml:space="preserve"> </v>
      </c>
      <c r="N82" s="29" t="str">
        <f>IF('E-Barrows'!A82&lt;'Adj-Barrows'!$B$10,1/L82," ")</f>
        <v xml:space="preserve"> </v>
      </c>
      <c r="O82" s="19"/>
      <c r="P82" s="30" t="str">
        <f t="shared" si="6"/>
        <v/>
      </c>
      <c r="Q82" s="30" t="str">
        <f t="shared" si="7"/>
        <v/>
      </c>
      <c r="R82" s="30" t="str">
        <f t="shared" si="8"/>
        <v/>
      </c>
    </row>
    <row r="83" spans="1:18" x14ac:dyDescent="0.25">
      <c r="A83" s="27" t="str">
        <f>IF('E-Barrows'!A83&lt;'Adj-Barrows'!$B$10,'E-Barrows'!B83," ")</f>
        <v xml:space="preserve"> </v>
      </c>
      <c r="B83" s="25" t="str">
        <f>IF('E-Barrows'!A83&lt;'Adj-Barrows'!$B$10,'E-Barrows'!A83," ")</f>
        <v xml:space="preserve"> </v>
      </c>
      <c r="C83" s="25" t="str">
        <f>IF('E-Barrows'!A83&lt;'Adj-Barrows'!$B$10,'E-Barrows'!C83," ")</f>
        <v xml:space="preserve"> </v>
      </c>
      <c r="D83" s="27" t="str">
        <f>IF('E-Barrows'!A83&lt;'Adj-Barrows'!$B$10,'E-Barrows'!G83," ")</f>
        <v xml:space="preserve"> </v>
      </c>
      <c r="E83" s="26" t="str">
        <f>IF('E-Barrows'!A83&lt;'Adj-Barrows'!$B$10,'E-Barrows'!D83," ")</f>
        <v xml:space="preserve"> </v>
      </c>
      <c r="F83" s="26"/>
      <c r="G83" s="216" t="str">
        <f t="shared" si="5"/>
        <v xml:space="preserve"> </v>
      </c>
      <c r="H83" s="27" t="str">
        <f>IF('E-Barrows'!A83&lt;'Adj-Barrows'!$B$10,'E-Barrows'!I83," ")</f>
        <v xml:space="preserve"> </v>
      </c>
      <c r="I83" s="217" t="str">
        <f>IF('E-Barrows'!A83&lt;'Adj-Barrows'!$B$10,'E-Barrows'!A83," ")</f>
        <v xml:space="preserve"> </v>
      </c>
      <c r="J83" s="25" t="str">
        <f>IF('E-Barrows'!A83&lt;'Adj-Barrows'!$B$10,'E-Barrows'!J83," ")</f>
        <v xml:space="preserve"> </v>
      </c>
      <c r="K83" s="27" t="str">
        <f>IF('E-Barrows'!A83&lt;'Adj-Barrows'!$B$10,'E-Barrows'!N83," ")</f>
        <v xml:space="preserve"> </v>
      </c>
      <c r="L83" s="26" t="str">
        <f>IF('E-Barrows'!A83&lt;'Adj-Barrows'!$B$10,'E-Barrows'!K83," ")</f>
        <v xml:space="preserve"> </v>
      </c>
      <c r="M83" s="27" t="str">
        <f>IF('E-Barrows'!A83&lt;'Adj-Barrows'!$B$10,'E-Barrows'!M83," ")</f>
        <v xml:space="preserve"> </v>
      </c>
      <c r="N83" s="29" t="str">
        <f>IF('E-Barrows'!A83&lt;'Adj-Barrows'!$B$10,1/L83," ")</f>
        <v xml:space="preserve"> </v>
      </c>
      <c r="O83" s="19"/>
      <c r="P83" s="30" t="str">
        <f t="shared" si="6"/>
        <v/>
      </c>
      <c r="Q83" s="30" t="str">
        <f t="shared" si="7"/>
        <v/>
      </c>
      <c r="R83" s="30" t="str">
        <f t="shared" si="8"/>
        <v/>
      </c>
    </row>
    <row r="84" spans="1:18" x14ac:dyDescent="0.25">
      <c r="A84" s="27" t="str">
        <f>IF('E-Barrows'!A84&lt;'Adj-Barrows'!$B$10,'E-Barrows'!B84," ")</f>
        <v xml:space="preserve"> </v>
      </c>
      <c r="B84" s="25" t="str">
        <f>IF('E-Barrows'!A84&lt;'Adj-Barrows'!$B$10,'E-Barrows'!A84," ")</f>
        <v xml:space="preserve"> </v>
      </c>
      <c r="C84" s="25" t="str">
        <f>IF('E-Barrows'!A84&lt;'Adj-Barrows'!$B$10,'E-Barrows'!C84," ")</f>
        <v xml:space="preserve"> </v>
      </c>
      <c r="D84" s="27" t="str">
        <f>IF('E-Barrows'!A84&lt;'Adj-Barrows'!$B$10,'E-Barrows'!G84," ")</f>
        <v xml:space="preserve"> </v>
      </c>
      <c r="E84" s="26" t="str">
        <f>IF('E-Barrows'!A84&lt;'Adj-Barrows'!$B$10,'E-Barrows'!D84," ")</f>
        <v xml:space="preserve"> </v>
      </c>
      <c r="F84" s="26"/>
      <c r="G84" s="216" t="str">
        <f t="shared" si="5"/>
        <v xml:space="preserve"> </v>
      </c>
      <c r="H84" s="27" t="str">
        <f>IF('E-Barrows'!A84&lt;'Adj-Barrows'!$B$10,'E-Barrows'!I84," ")</f>
        <v xml:space="preserve"> </v>
      </c>
      <c r="I84" s="217" t="str">
        <f>IF('E-Barrows'!A84&lt;'Adj-Barrows'!$B$10,'E-Barrows'!A84," ")</f>
        <v xml:space="preserve"> </v>
      </c>
      <c r="J84" s="25" t="str">
        <f>IF('E-Barrows'!A84&lt;'Adj-Barrows'!$B$10,'E-Barrows'!J84," ")</f>
        <v xml:space="preserve"> </v>
      </c>
      <c r="K84" s="27" t="str">
        <f>IF('E-Barrows'!A84&lt;'Adj-Barrows'!$B$10,'E-Barrows'!N84," ")</f>
        <v xml:space="preserve"> </v>
      </c>
      <c r="L84" s="26" t="str">
        <f>IF('E-Barrows'!A84&lt;'Adj-Barrows'!$B$10,'E-Barrows'!K84," ")</f>
        <v xml:space="preserve"> </v>
      </c>
      <c r="M84" s="27" t="str">
        <f>IF('E-Barrows'!A84&lt;'Adj-Barrows'!$B$10,'E-Barrows'!M84," ")</f>
        <v xml:space="preserve"> </v>
      </c>
      <c r="N84" s="29" t="str">
        <f>IF('E-Barrows'!A84&lt;'Adj-Barrows'!$B$10,1/L84," ")</f>
        <v xml:space="preserve"> </v>
      </c>
      <c r="O84" s="19"/>
      <c r="P84" s="30" t="str">
        <f t="shared" si="6"/>
        <v/>
      </c>
      <c r="Q84" s="30" t="str">
        <f t="shared" si="7"/>
        <v/>
      </c>
      <c r="R84" s="30" t="str">
        <f t="shared" si="8"/>
        <v/>
      </c>
    </row>
    <row r="85" spans="1:18" x14ac:dyDescent="0.25">
      <c r="A85" s="27" t="str">
        <f>IF('E-Barrows'!A85&lt;'Adj-Barrows'!$B$10,'E-Barrows'!B85," ")</f>
        <v xml:space="preserve"> </v>
      </c>
      <c r="B85" s="25" t="str">
        <f>IF('E-Barrows'!A85&lt;'Adj-Barrows'!$B$10,'E-Barrows'!A85," ")</f>
        <v xml:space="preserve"> </v>
      </c>
      <c r="C85" s="25" t="str">
        <f>IF('E-Barrows'!A85&lt;'Adj-Barrows'!$B$10,'E-Barrows'!C85," ")</f>
        <v xml:space="preserve"> </v>
      </c>
      <c r="D85" s="27" t="str">
        <f>IF('E-Barrows'!A85&lt;'Adj-Barrows'!$B$10,'E-Barrows'!G85," ")</f>
        <v xml:space="preserve"> </v>
      </c>
      <c r="E85" s="26" t="str">
        <f>IF('E-Barrows'!A85&lt;'Adj-Barrows'!$B$10,'E-Barrows'!D85," ")</f>
        <v xml:space="preserve"> </v>
      </c>
      <c r="F85" s="26"/>
      <c r="G85" s="216" t="str">
        <f t="shared" si="5"/>
        <v xml:space="preserve"> </v>
      </c>
      <c r="H85" s="27" t="str">
        <f>IF('E-Barrows'!A85&lt;'Adj-Barrows'!$B$10,'E-Barrows'!I85," ")</f>
        <v xml:space="preserve"> </v>
      </c>
      <c r="I85" s="217" t="str">
        <f>IF('E-Barrows'!A85&lt;'Adj-Barrows'!$B$10,'E-Barrows'!A85," ")</f>
        <v xml:space="preserve"> </v>
      </c>
      <c r="J85" s="25" t="str">
        <f>IF('E-Barrows'!A85&lt;'Adj-Barrows'!$B$10,'E-Barrows'!J85," ")</f>
        <v xml:space="preserve"> </v>
      </c>
      <c r="K85" s="27" t="str">
        <f>IF('E-Barrows'!A85&lt;'Adj-Barrows'!$B$10,'E-Barrows'!N85," ")</f>
        <v xml:space="preserve"> </v>
      </c>
      <c r="L85" s="26" t="str">
        <f>IF('E-Barrows'!A85&lt;'Adj-Barrows'!$B$10,'E-Barrows'!K85," ")</f>
        <v xml:space="preserve"> </v>
      </c>
      <c r="M85" s="27" t="str">
        <f>IF('E-Barrows'!A85&lt;'Adj-Barrows'!$B$10,'E-Barrows'!M85," ")</f>
        <v xml:space="preserve"> </v>
      </c>
      <c r="N85" s="29" t="str">
        <f>IF('E-Barrows'!A85&lt;'Adj-Barrows'!$B$10,1/L85," ")</f>
        <v xml:space="preserve"> </v>
      </c>
      <c r="O85" s="19"/>
      <c r="P85" s="30" t="str">
        <f t="shared" si="6"/>
        <v/>
      </c>
      <c r="Q85" s="30" t="str">
        <f t="shared" si="7"/>
        <v/>
      </c>
      <c r="R85" s="30" t="str">
        <f t="shared" si="8"/>
        <v/>
      </c>
    </row>
    <row r="86" spans="1:18" x14ac:dyDescent="0.25">
      <c r="A86" s="27" t="str">
        <f>IF('E-Barrows'!A86&lt;'Adj-Barrows'!$B$10,'E-Barrows'!B86," ")</f>
        <v xml:space="preserve"> </v>
      </c>
      <c r="B86" s="25" t="str">
        <f>IF('E-Barrows'!A86&lt;'Adj-Barrows'!$B$10,'E-Barrows'!A86," ")</f>
        <v xml:space="preserve"> </v>
      </c>
      <c r="C86" s="25" t="str">
        <f>IF('E-Barrows'!A86&lt;'Adj-Barrows'!$B$10,'E-Barrows'!C86," ")</f>
        <v xml:space="preserve"> </v>
      </c>
      <c r="D86" s="27" t="str">
        <f>IF('E-Barrows'!A86&lt;'Adj-Barrows'!$B$10,'E-Barrows'!G86," ")</f>
        <v xml:space="preserve"> </v>
      </c>
      <c r="E86" s="26" t="str">
        <f>IF('E-Barrows'!A86&lt;'Adj-Barrows'!$B$10,'E-Barrows'!D86," ")</f>
        <v xml:space="preserve"> </v>
      </c>
      <c r="F86" s="26"/>
      <c r="G86" s="216" t="str">
        <f t="shared" si="5"/>
        <v xml:space="preserve"> </v>
      </c>
      <c r="H86" s="27" t="str">
        <f>IF('E-Barrows'!A86&lt;'Adj-Barrows'!$B$10,'E-Barrows'!I86," ")</f>
        <v xml:space="preserve"> </v>
      </c>
      <c r="I86" s="217" t="str">
        <f>IF('E-Barrows'!A86&lt;'Adj-Barrows'!$B$10,'E-Barrows'!A86," ")</f>
        <v xml:space="preserve"> </v>
      </c>
      <c r="J86" s="25" t="str">
        <f>IF('E-Barrows'!A86&lt;'Adj-Barrows'!$B$10,'E-Barrows'!J86," ")</f>
        <v xml:space="preserve"> </v>
      </c>
      <c r="K86" s="27" t="str">
        <f>IF('E-Barrows'!A86&lt;'Adj-Barrows'!$B$10,'E-Barrows'!N86," ")</f>
        <v xml:space="preserve"> </v>
      </c>
      <c r="L86" s="26" t="str">
        <f>IF('E-Barrows'!A86&lt;'Adj-Barrows'!$B$10,'E-Barrows'!K86," ")</f>
        <v xml:space="preserve"> </v>
      </c>
      <c r="M86" s="27" t="str">
        <f>IF('E-Barrows'!A86&lt;'Adj-Barrows'!$B$10,'E-Barrows'!M86," ")</f>
        <v xml:space="preserve"> </v>
      </c>
      <c r="N86" s="29" t="str">
        <f>IF('E-Barrows'!A86&lt;'Adj-Barrows'!$B$10,1/L86," ")</f>
        <v xml:space="preserve"> </v>
      </c>
      <c r="O86" s="19"/>
      <c r="P86" s="30" t="str">
        <f t="shared" si="6"/>
        <v/>
      </c>
      <c r="Q86" s="30" t="str">
        <f t="shared" si="7"/>
        <v/>
      </c>
      <c r="R86" s="30" t="str">
        <f t="shared" si="8"/>
        <v/>
      </c>
    </row>
    <row r="87" spans="1:18" x14ac:dyDescent="0.25">
      <c r="A87" s="27" t="str">
        <f>IF('E-Barrows'!A87&lt;'Adj-Barrows'!$B$10,'E-Barrows'!B87," ")</f>
        <v xml:space="preserve"> </v>
      </c>
      <c r="B87" s="25" t="str">
        <f>IF('E-Barrows'!A87&lt;'Adj-Barrows'!$B$10,'E-Barrows'!A87," ")</f>
        <v xml:space="preserve"> </v>
      </c>
      <c r="C87" s="25" t="str">
        <f>IF('E-Barrows'!A87&lt;'Adj-Barrows'!$B$10,'E-Barrows'!C87," ")</f>
        <v xml:space="preserve"> </v>
      </c>
      <c r="D87" s="27" t="str">
        <f>IF('E-Barrows'!A87&lt;'Adj-Barrows'!$B$10,'E-Barrows'!G87," ")</f>
        <v xml:space="preserve"> </v>
      </c>
      <c r="E87" s="26" t="str">
        <f>IF('E-Barrows'!A87&lt;'Adj-Barrows'!$B$10,'E-Barrows'!D87," ")</f>
        <v xml:space="preserve"> </v>
      </c>
      <c r="F87" s="26"/>
      <c r="G87" s="216" t="str">
        <f t="shared" si="5"/>
        <v xml:space="preserve"> </v>
      </c>
      <c r="H87" s="27" t="str">
        <f>IF('E-Barrows'!A87&lt;'Adj-Barrows'!$B$10,'E-Barrows'!I87," ")</f>
        <v xml:space="preserve"> </v>
      </c>
      <c r="I87" s="217" t="str">
        <f>IF('E-Barrows'!A87&lt;'Adj-Barrows'!$B$10,'E-Barrows'!A87," ")</f>
        <v xml:space="preserve"> </v>
      </c>
      <c r="J87" s="25" t="str">
        <f>IF('E-Barrows'!A87&lt;'Adj-Barrows'!$B$10,'E-Barrows'!J87," ")</f>
        <v xml:space="preserve"> </v>
      </c>
      <c r="K87" s="27" t="str">
        <f>IF('E-Barrows'!A87&lt;'Adj-Barrows'!$B$10,'E-Barrows'!N87," ")</f>
        <v xml:space="preserve"> </v>
      </c>
      <c r="L87" s="26" t="str">
        <f>IF('E-Barrows'!A87&lt;'Adj-Barrows'!$B$10,'E-Barrows'!K87," ")</f>
        <v xml:space="preserve"> </v>
      </c>
      <c r="M87" s="27" t="str">
        <f>IF('E-Barrows'!A87&lt;'Adj-Barrows'!$B$10,'E-Barrows'!M87," ")</f>
        <v xml:space="preserve"> </v>
      </c>
      <c r="N87" s="29" t="str">
        <f>IF('E-Barrows'!A87&lt;'Adj-Barrows'!$B$10,1/L87," ")</f>
        <v xml:space="preserve"> </v>
      </c>
      <c r="O87" s="19"/>
      <c r="P87" s="30" t="str">
        <f t="shared" si="6"/>
        <v/>
      </c>
      <c r="Q87" s="30" t="str">
        <f t="shared" si="7"/>
        <v/>
      </c>
      <c r="R87" s="30" t="str">
        <f t="shared" si="8"/>
        <v/>
      </c>
    </row>
    <row r="88" spans="1:18" x14ac:dyDescent="0.25">
      <c r="A88" s="27" t="str">
        <f>IF('E-Barrows'!A88&lt;'Adj-Barrows'!$B$10,'E-Barrows'!B88," ")</f>
        <v xml:space="preserve"> </v>
      </c>
      <c r="B88" s="25" t="str">
        <f>IF('E-Barrows'!A88&lt;'Adj-Barrows'!$B$10,'E-Barrows'!A88," ")</f>
        <v xml:space="preserve"> </v>
      </c>
      <c r="C88" s="25" t="str">
        <f>IF('E-Barrows'!A88&lt;'Adj-Barrows'!$B$10,'E-Barrows'!C88," ")</f>
        <v xml:space="preserve"> </v>
      </c>
      <c r="D88" s="27" t="str">
        <f>IF('E-Barrows'!A88&lt;'Adj-Barrows'!$B$10,'E-Barrows'!G88," ")</f>
        <v xml:space="preserve"> </v>
      </c>
      <c r="E88" s="26" t="str">
        <f>IF('E-Barrows'!A88&lt;'Adj-Barrows'!$B$10,'E-Barrows'!D88," ")</f>
        <v xml:space="preserve"> </v>
      </c>
      <c r="F88" s="26"/>
      <c r="G88" s="216" t="str">
        <f t="shared" si="5"/>
        <v xml:space="preserve"> </v>
      </c>
      <c r="H88" s="27" t="str">
        <f>IF('E-Barrows'!A88&lt;'Adj-Barrows'!$B$10,'E-Barrows'!I88," ")</f>
        <v xml:space="preserve"> </v>
      </c>
      <c r="I88" s="217" t="str">
        <f>IF('E-Barrows'!A88&lt;'Adj-Barrows'!$B$10,'E-Barrows'!A88," ")</f>
        <v xml:space="preserve"> </v>
      </c>
      <c r="J88" s="25" t="str">
        <f>IF('E-Barrows'!A88&lt;'Adj-Barrows'!$B$10,'E-Barrows'!J88," ")</f>
        <v xml:space="preserve"> </v>
      </c>
      <c r="K88" s="27" t="str">
        <f>IF('E-Barrows'!A88&lt;'Adj-Barrows'!$B$10,'E-Barrows'!N88," ")</f>
        <v xml:space="preserve"> </v>
      </c>
      <c r="L88" s="26" t="str">
        <f>IF('E-Barrows'!A88&lt;'Adj-Barrows'!$B$10,'E-Barrows'!K88," ")</f>
        <v xml:space="preserve"> </v>
      </c>
      <c r="M88" s="27" t="str">
        <f>IF('E-Barrows'!A88&lt;'Adj-Barrows'!$B$10,'E-Barrows'!M88," ")</f>
        <v xml:space="preserve"> </v>
      </c>
      <c r="N88" s="29" t="str">
        <f>IF('E-Barrows'!A88&lt;'Adj-Barrows'!$B$10,1/L88," ")</f>
        <v xml:space="preserve"> </v>
      </c>
      <c r="O88" s="19"/>
      <c r="P88" s="30" t="str">
        <f t="shared" si="6"/>
        <v/>
      </c>
      <c r="Q88" s="30" t="str">
        <f t="shared" si="7"/>
        <v/>
      </c>
      <c r="R88" s="30" t="str">
        <f t="shared" si="8"/>
        <v/>
      </c>
    </row>
    <row r="89" spans="1:18" x14ac:dyDescent="0.25">
      <c r="A89" s="27" t="str">
        <f>IF('E-Barrows'!A89&lt;'Adj-Barrows'!$B$10,'E-Barrows'!B89," ")</f>
        <v xml:space="preserve"> </v>
      </c>
      <c r="B89" s="25" t="str">
        <f>IF('E-Barrows'!A89&lt;'Adj-Barrows'!$B$10,'E-Barrows'!A89," ")</f>
        <v xml:space="preserve"> </v>
      </c>
      <c r="C89" s="25" t="str">
        <f>IF('E-Barrows'!A89&lt;'Adj-Barrows'!$B$10,'E-Barrows'!C89," ")</f>
        <v xml:space="preserve"> </v>
      </c>
      <c r="D89" s="27" t="str">
        <f>IF('E-Barrows'!A89&lt;'Adj-Barrows'!$B$10,'E-Barrows'!G89," ")</f>
        <v xml:space="preserve"> </v>
      </c>
      <c r="E89" s="26" t="str">
        <f>IF('E-Barrows'!A89&lt;'Adj-Barrows'!$B$10,'E-Barrows'!D89," ")</f>
        <v xml:space="preserve"> </v>
      </c>
      <c r="F89" s="26"/>
      <c r="G89" s="216" t="str">
        <f t="shared" si="5"/>
        <v xml:space="preserve"> </v>
      </c>
      <c r="H89" s="27" t="str">
        <f>IF('E-Barrows'!A89&lt;'Adj-Barrows'!$B$10,'E-Barrows'!I89," ")</f>
        <v xml:space="preserve"> </v>
      </c>
      <c r="I89" s="217" t="str">
        <f>IF('E-Barrows'!A89&lt;'Adj-Barrows'!$B$10,'E-Barrows'!A89," ")</f>
        <v xml:space="preserve"> </v>
      </c>
      <c r="J89" s="25" t="str">
        <f>IF('E-Barrows'!A89&lt;'Adj-Barrows'!$B$10,'E-Barrows'!J89," ")</f>
        <v xml:space="preserve"> </v>
      </c>
      <c r="K89" s="27" t="str">
        <f>IF('E-Barrows'!A89&lt;'Adj-Barrows'!$B$10,'E-Barrows'!N89," ")</f>
        <v xml:space="preserve"> </v>
      </c>
      <c r="L89" s="26" t="str">
        <f>IF('E-Barrows'!A89&lt;'Adj-Barrows'!$B$10,'E-Barrows'!K89," ")</f>
        <v xml:space="preserve"> </v>
      </c>
      <c r="M89" s="27" t="str">
        <f>IF('E-Barrows'!A89&lt;'Adj-Barrows'!$B$10,'E-Barrows'!M89," ")</f>
        <v xml:space="preserve"> </v>
      </c>
      <c r="N89" s="29" t="str">
        <f>IF('E-Barrows'!A89&lt;'Adj-Barrows'!$B$10,1/L89," ")</f>
        <v xml:space="preserve"> </v>
      </c>
      <c r="O89" s="19"/>
      <c r="P89" s="30" t="str">
        <f t="shared" si="6"/>
        <v/>
      </c>
      <c r="Q89" s="30" t="str">
        <f t="shared" si="7"/>
        <v/>
      </c>
      <c r="R89" s="30" t="str">
        <f t="shared" si="8"/>
        <v/>
      </c>
    </row>
    <row r="90" spans="1:18" x14ac:dyDescent="0.25">
      <c r="A90" s="27" t="str">
        <f>IF('E-Barrows'!A90&lt;'Adj-Barrows'!$B$10,'E-Barrows'!B90," ")</f>
        <v xml:space="preserve"> </v>
      </c>
      <c r="B90" s="25" t="str">
        <f>IF('E-Barrows'!A90&lt;'Adj-Barrows'!$B$10,'E-Barrows'!A90," ")</f>
        <v xml:space="preserve"> </v>
      </c>
      <c r="C90" s="25" t="str">
        <f>IF('E-Barrows'!A90&lt;'Adj-Barrows'!$B$10,'E-Barrows'!C90," ")</f>
        <v xml:space="preserve"> </v>
      </c>
      <c r="D90" s="27" t="str">
        <f>IF('E-Barrows'!A90&lt;'Adj-Barrows'!$B$10,'E-Barrows'!G90," ")</f>
        <v xml:space="preserve"> </v>
      </c>
      <c r="E90" s="26" t="str">
        <f>IF('E-Barrows'!A90&lt;'Adj-Barrows'!$B$10,'E-Barrows'!D90," ")</f>
        <v xml:space="preserve"> </v>
      </c>
      <c r="F90" s="26"/>
      <c r="G90" s="216" t="str">
        <f t="shared" si="5"/>
        <v xml:space="preserve"> </v>
      </c>
      <c r="H90" s="27" t="str">
        <f>IF('E-Barrows'!A90&lt;'Adj-Barrows'!$B$10,'E-Barrows'!I90," ")</f>
        <v xml:space="preserve"> </v>
      </c>
      <c r="I90" s="217" t="str">
        <f>IF('E-Barrows'!A90&lt;'Adj-Barrows'!$B$10,'E-Barrows'!A90," ")</f>
        <v xml:space="preserve"> </v>
      </c>
      <c r="J90" s="25" t="str">
        <f>IF('E-Barrows'!A90&lt;'Adj-Barrows'!$B$10,'E-Barrows'!J90," ")</f>
        <v xml:space="preserve"> </v>
      </c>
      <c r="K90" s="27" t="str">
        <f>IF('E-Barrows'!A90&lt;'Adj-Barrows'!$B$10,'E-Barrows'!N90," ")</f>
        <v xml:space="preserve"> </v>
      </c>
      <c r="L90" s="26" t="str">
        <f>IF('E-Barrows'!A90&lt;'Adj-Barrows'!$B$10,'E-Barrows'!K90," ")</f>
        <v xml:space="preserve"> </v>
      </c>
      <c r="M90" s="27" t="str">
        <f>IF('E-Barrows'!A90&lt;'Adj-Barrows'!$B$10,'E-Barrows'!M90," ")</f>
        <v xml:space="preserve"> </v>
      </c>
      <c r="N90" s="29" t="str">
        <f>IF('E-Barrows'!A90&lt;'Adj-Barrows'!$B$10,1/L90," ")</f>
        <v xml:space="preserve"> </v>
      </c>
      <c r="O90" s="19"/>
      <c r="P90" s="30" t="str">
        <f t="shared" si="6"/>
        <v/>
      </c>
      <c r="Q90" s="30" t="str">
        <f t="shared" si="7"/>
        <v/>
      </c>
      <c r="R90" s="30" t="str">
        <f t="shared" si="8"/>
        <v/>
      </c>
    </row>
    <row r="91" spans="1:18" x14ac:dyDescent="0.25">
      <c r="A91" s="27" t="str">
        <f>IF('E-Barrows'!A91&lt;'Adj-Barrows'!$B$10,'E-Barrows'!B91," ")</f>
        <v xml:space="preserve"> </v>
      </c>
      <c r="B91" s="25" t="str">
        <f>IF('E-Barrows'!A91&lt;'Adj-Barrows'!$B$10,'E-Barrows'!A91," ")</f>
        <v xml:space="preserve"> </v>
      </c>
      <c r="C91" s="25" t="str">
        <f>IF('E-Barrows'!A91&lt;'Adj-Barrows'!$B$10,'E-Barrows'!C91," ")</f>
        <v xml:space="preserve"> </v>
      </c>
      <c r="D91" s="27" t="str">
        <f>IF('E-Barrows'!A91&lt;'Adj-Barrows'!$B$10,'E-Barrows'!G91," ")</f>
        <v xml:space="preserve"> </v>
      </c>
      <c r="E91" s="26" t="str">
        <f>IF('E-Barrows'!A91&lt;'Adj-Barrows'!$B$10,'E-Barrows'!D91," ")</f>
        <v xml:space="preserve"> </v>
      </c>
      <c r="F91" s="26"/>
      <c r="G91" s="216" t="str">
        <f t="shared" si="5"/>
        <v xml:space="preserve"> </v>
      </c>
      <c r="H91" s="27" t="str">
        <f>IF('E-Barrows'!A91&lt;'Adj-Barrows'!$B$10,'E-Barrows'!I91," ")</f>
        <v xml:space="preserve"> </v>
      </c>
      <c r="I91" s="217" t="str">
        <f>IF('E-Barrows'!A91&lt;'Adj-Barrows'!$B$10,'E-Barrows'!A91," ")</f>
        <v xml:space="preserve"> </v>
      </c>
      <c r="J91" s="25" t="str">
        <f>IF('E-Barrows'!A91&lt;'Adj-Barrows'!$B$10,'E-Barrows'!J91," ")</f>
        <v xml:space="preserve"> </v>
      </c>
      <c r="K91" s="27" t="str">
        <f>IF('E-Barrows'!A91&lt;'Adj-Barrows'!$B$10,'E-Barrows'!N91," ")</f>
        <v xml:space="preserve"> </v>
      </c>
      <c r="L91" s="26" t="str">
        <f>IF('E-Barrows'!A91&lt;'Adj-Barrows'!$B$10,'E-Barrows'!K91," ")</f>
        <v xml:space="preserve"> </v>
      </c>
      <c r="M91" s="27" t="str">
        <f>IF('E-Barrows'!A91&lt;'Adj-Barrows'!$B$10,'E-Barrows'!M91," ")</f>
        <v xml:space="preserve"> </v>
      </c>
      <c r="N91" s="29" t="str">
        <f>IF('E-Barrows'!A91&lt;'Adj-Barrows'!$B$10,1/L91," ")</f>
        <v xml:space="preserve"> </v>
      </c>
      <c r="O91" s="19"/>
      <c r="P91" s="30" t="str">
        <f t="shared" si="6"/>
        <v/>
      </c>
      <c r="Q91" s="30" t="str">
        <f t="shared" si="7"/>
        <v/>
      </c>
      <c r="R91" s="30" t="str">
        <f t="shared" si="8"/>
        <v/>
      </c>
    </row>
    <row r="92" spans="1:18" x14ac:dyDescent="0.25">
      <c r="A92" s="27" t="str">
        <f>IF('E-Barrows'!A92&lt;'Adj-Barrows'!$B$10,'E-Barrows'!B92," ")</f>
        <v xml:space="preserve"> </v>
      </c>
      <c r="B92" s="25" t="str">
        <f>IF('E-Barrows'!A92&lt;'Adj-Barrows'!$B$10,'E-Barrows'!A92," ")</f>
        <v xml:space="preserve"> </v>
      </c>
      <c r="C92" s="25" t="str">
        <f>IF('E-Barrows'!A92&lt;'Adj-Barrows'!$B$10,'E-Barrows'!C92," ")</f>
        <v xml:space="preserve"> </v>
      </c>
      <c r="D92" s="27" t="str">
        <f>IF('E-Barrows'!A92&lt;'Adj-Barrows'!$B$10,'E-Barrows'!G92," ")</f>
        <v xml:space="preserve"> </v>
      </c>
      <c r="E92" s="26" t="str">
        <f>IF('E-Barrows'!A92&lt;'Adj-Barrows'!$B$10,'E-Barrows'!D92," ")</f>
        <v xml:space="preserve"> </v>
      </c>
      <c r="F92" s="26"/>
      <c r="G92" s="216" t="str">
        <f t="shared" si="5"/>
        <v xml:space="preserve"> </v>
      </c>
      <c r="H92" s="27" t="str">
        <f>IF('E-Barrows'!A92&lt;'Adj-Barrows'!$B$10,'E-Barrows'!I92," ")</f>
        <v xml:space="preserve"> </v>
      </c>
      <c r="I92" s="217" t="str">
        <f>IF('E-Barrows'!A92&lt;'Adj-Barrows'!$B$10,'E-Barrows'!A92," ")</f>
        <v xml:space="preserve"> </v>
      </c>
      <c r="J92" s="25" t="str">
        <f>IF('E-Barrows'!A92&lt;'Adj-Barrows'!$B$10,'E-Barrows'!J92," ")</f>
        <v xml:space="preserve"> </v>
      </c>
      <c r="K92" s="27" t="str">
        <f>IF('E-Barrows'!A92&lt;'Adj-Barrows'!$B$10,'E-Barrows'!N92," ")</f>
        <v xml:space="preserve"> </v>
      </c>
      <c r="L92" s="26" t="str">
        <f>IF('E-Barrows'!A92&lt;'Adj-Barrows'!$B$10,'E-Barrows'!K92," ")</f>
        <v xml:space="preserve"> </v>
      </c>
      <c r="M92" s="27" t="str">
        <f>IF('E-Barrows'!A92&lt;'Adj-Barrows'!$B$10,'E-Barrows'!M92," ")</f>
        <v xml:space="preserve"> </v>
      </c>
      <c r="N92" s="29" t="str">
        <f>IF('E-Barrows'!A92&lt;'Adj-Barrows'!$B$10,1/L92," ")</f>
        <v xml:space="preserve"> </v>
      </c>
      <c r="O92" s="19"/>
      <c r="P92" s="30" t="str">
        <f t="shared" si="6"/>
        <v/>
      </c>
      <c r="Q92" s="30" t="str">
        <f t="shared" si="7"/>
        <v/>
      </c>
      <c r="R92" s="30" t="str">
        <f t="shared" si="8"/>
        <v/>
      </c>
    </row>
    <row r="93" spans="1:18" x14ac:dyDescent="0.25">
      <c r="A93" s="27" t="str">
        <f>IF('E-Barrows'!A93&lt;'Adj-Barrows'!$B$10,'E-Barrows'!B93," ")</f>
        <v xml:space="preserve"> </v>
      </c>
      <c r="B93" s="25" t="str">
        <f>IF('E-Barrows'!A93&lt;'Adj-Barrows'!$B$10,'E-Barrows'!A93," ")</f>
        <v xml:space="preserve"> </v>
      </c>
      <c r="C93" s="25" t="str">
        <f>IF('E-Barrows'!A93&lt;'Adj-Barrows'!$B$10,'E-Barrows'!C93," ")</f>
        <v xml:space="preserve"> </v>
      </c>
      <c r="D93" s="27" t="str">
        <f>IF('E-Barrows'!A93&lt;'Adj-Barrows'!$B$10,'E-Barrows'!G93," ")</f>
        <v xml:space="preserve"> </v>
      </c>
      <c r="E93" s="26" t="str">
        <f>IF('E-Barrows'!A93&lt;'Adj-Barrows'!$B$10,'E-Barrows'!D93," ")</f>
        <v xml:space="preserve"> </v>
      </c>
      <c r="F93" s="26"/>
      <c r="G93" s="216" t="str">
        <f t="shared" si="5"/>
        <v xml:space="preserve"> </v>
      </c>
      <c r="H93" s="27" t="str">
        <f>IF('E-Barrows'!A93&lt;'Adj-Barrows'!$B$10,'E-Barrows'!I93," ")</f>
        <v xml:space="preserve"> </v>
      </c>
      <c r="I93" s="217" t="str">
        <f>IF('E-Barrows'!A93&lt;'Adj-Barrows'!$B$10,'E-Barrows'!A93," ")</f>
        <v xml:space="preserve"> </v>
      </c>
      <c r="J93" s="25" t="str">
        <f>IF('E-Barrows'!A93&lt;'Adj-Barrows'!$B$10,'E-Barrows'!J93," ")</f>
        <v xml:space="preserve"> </v>
      </c>
      <c r="K93" s="27" t="str">
        <f>IF('E-Barrows'!A93&lt;'Adj-Barrows'!$B$10,'E-Barrows'!N93," ")</f>
        <v xml:space="preserve"> </v>
      </c>
      <c r="L93" s="26" t="str">
        <f>IF('E-Barrows'!A93&lt;'Adj-Barrows'!$B$10,'E-Barrows'!K93," ")</f>
        <v xml:space="preserve"> </v>
      </c>
      <c r="M93" s="27" t="str">
        <f>IF('E-Barrows'!A93&lt;'Adj-Barrows'!$B$10,'E-Barrows'!M93," ")</f>
        <v xml:space="preserve"> </v>
      </c>
      <c r="N93" s="29" t="str">
        <f>IF('E-Barrows'!A93&lt;'Adj-Barrows'!$B$10,1/L93," ")</f>
        <v xml:space="preserve"> </v>
      </c>
      <c r="O93" s="19"/>
      <c r="P93" s="30" t="str">
        <f t="shared" si="6"/>
        <v/>
      </c>
      <c r="Q93" s="30" t="str">
        <f t="shared" si="7"/>
        <v/>
      </c>
      <c r="R93" s="30" t="str">
        <f t="shared" si="8"/>
        <v/>
      </c>
    </row>
    <row r="94" spans="1:18" x14ac:dyDescent="0.25">
      <c r="A94" s="27" t="str">
        <f>IF('E-Barrows'!A94&lt;'Adj-Barrows'!$B$10,'E-Barrows'!B94," ")</f>
        <v xml:space="preserve"> </v>
      </c>
      <c r="B94" s="25" t="str">
        <f>IF('E-Barrows'!A94&lt;'Adj-Barrows'!$B$10,'E-Barrows'!A94," ")</f>
        <v xml:space="preserve"> </v>
      </c>
      <c r="C94" s="25" t="str">
        <f>IF('E-Barrows'!A94&lt;'Adj-Barrows'!$B$10,'E-Barrows'!C94," ")</f>
        <v xml:space="preserve"> </v>
      </c>
      <c r="D94" s="27" t="str">
        <f>IF('E-Barrows'!A94&lt;'Adj-Barrows'!$B$10,'E-Barrows'!G94," ")</f>
        <v xml:space="preserve"> </v>
      </c>
      <c r="E94" s="26" t="str">
        <f>IF('E-Barrows'!A94&lt;'Adj-Barrows'!$B$10,'E-Barrows'!D94," ")</f>
        <v xml:space="preserve"> </v>
      </c>
      <c r="F94" s="26"/>
      <c r="G94" s="216" t="str">
        <f t="shared" si="5"/>
        <v xml:space="preserve"> </v>
      </c>
      <c r="H94" s="27" t="str">
        <f>IF('E-Barrows'!A94&lt;'Adj-Barrows'!$B$10,'E-Barrows'!I94," ")</f>
        <v xml:space="preserve"> </v>
      </c>
      <c r="I94" s="217" t="str">
        <f>IF('E-Barrows'!A94&lt;'Adj-Barrows'!$B$10,'E-Barrows'!A94," ")</f>
        <v xml:space="preserve"> </v>
      </c>
      <c r="J94" s="25" t="str">
        <f>IF('E-Barrows'!A94&lt;'Adj-Barrows'!$B$10,'E-Barrows'!J94," ")</f>
        <v xml:space="preserve"> </v>
      </c>
      <c r="K94" s="27" t="str">
        <f>IF('E-Barrows'!A94&lt;'Adj-Barrows'!$B$10,'E-Barrows'!N94," ")</f>
        <v xml:space="preserve"> </v>
      </c>
      <c r="L94" s="26" t="str">
        <f>IF('E-Barrows'!A94&lt;'Adj-Barrows'!$B$10,'E-Barrows'!K94," ")</f>
        <v xml:space="preserve"> </v>
      </c>
      <c r="M94" s="27" t="str">
        <f>IF('E-Barrows'!A94&lt;'Adj-Barrows'!$B$10,'E-Barrows'!M94," ")</f>
        <v xml:space="preserve"> </v>
      </c>
      <c r="N94" s="29" t="str">
        <f>IF('E-Barrows'!A94&lt;'Adj-Barrows'!$B$10,1/L94," ")</f>
        <v xml:space="preserve"> </v>
      </c>
      <c r="O94" s="19"/>
      <c r="P94" s="30" t="str">
        <f t="shared" si="6"/>
        <v/>
      </c>
      <c r="Q94" s="30" t="str">
        <f t="shared" si="7"/>
        <v/>
      </c>
      <c r="R94" s="30" t="str">
        <f t="shared" si="8"/>
        <v/>
      </c>
    </row>
    <row r="95" spans="1:18" x14ac:dyDescent="0.25">
      <c r="A95" s="27" t="str">
        <f>IF('E-Barrows'!A95&lt;'Adj-Barrows'!$B$10,'E-Barrows'!B95," ")</f>
        <v xml:space="preserve"> </v>
      </c>
      <c r="B95" s="25" t="str">
        <f>IF('E-Barrows'!A95&lt;'Adj-Barrows'!$B$10,'E-Barrows'!A95," ")</f>
        <v xml:space="preserve"> </v>
      </c>
      <c r="C95" s="25" t="str">
        <f>IF('E-Barrows'!A95&lt;'Adj-Barrows'!$B$10,'E-Barrows'!C95," ")</f>
        <v xml:space="preserve"> </v>
      </c>
      <c r="D95" s="27" t="str">
        <f>IF('E-Barrows'!A95&lt;'Adj-Barrows'!$B$10,'E-Barrows'!G95," ")</f>
        <v xml:space="preserve"> </v>
      </c>
      <c r="E95" s="26" t="str">
        <f>IF('E-Barrows'!A95&lt;'Adj-Barrows'!$B$10,'E-Barrows'!D95," ")</f>
        <v xml:space="preserve"> </v>
      </c>
      <c r="F95" s="26"/>
      <c r="G95" s="216" t="str">
        <f t="shared" si="5"/>
        <v xml:space="preserve"> </v>
      </c>
      <c r="H95" s="27" t="str">
        <f>IF('E-Barrows'!A95&lt;'Adj-Barrows'!$B$10,'E-Barrows'!I95," ")</f>
        <v xml:space="preserve"> </v>
      </c>
      <c r="I95" s="217" t="str">
        <f>IF('E-Barrows'!A95&lt;'Adj-Barrows'!$B$10,'E-Barrows'!A95," ")</f>
        <v xml:space="preserve"> </v>
      </c>
      <c r="J95" s="25" t="str">
        <f>IF('E-Barrows'!A95&lt;'Adj-Barrows'!$B$10,'E-Barrows'!J95," ")</f>
        <v xml:space="preserve"> </v>
      </c>
      <c r="K95" s="27" t="str">
        <f>IF('E-Barrows'!A95&lt;'Adj-Barrows'!$B$10,'E-Barrows'!N95," ")</f>
        <v xml:space="preserve"> </v>
      </c>
      <c r="L95" s="26" t="str">
        <f>IF('E-Barrows'!A95&lt;'Adj-Barrows'!$B$10,'E-Barrows'!K95," ")</f>
        <v xml:space="preserve"> </v>
      </c>
      <c r="M95" s="27" t="str">
        <f>IF('E-Barrows'!A95&lt;'Adj-Barrows'!$B$10,'E-Barrows'!M95," ")</f>
        <v xml:space="preserve"> </v>
      </c>
      <c r="N95" s="29" t="str">
        <f>IF('E-Barrows'!A95&lt;'Adj-Barrows'!$B$10,1/L95," ")</f>
        <v xml:space="preserve"> </v>
      </c>
      <c r="O95" s="19"/>
      <c r="P95" s="30" t="str">
        <f t="shared" si="6"/>
        <v/>
      </c>
      <c r="Q95" s="30" t="str">
        <f t="shared" si="7"/>
        <v/>
      </c>
      <c r="R95" s="30" t="str">
        <f t="shared" si="8"/>
        <v/>
      </c>
    </row>
    <row r="96" spans="1:18" x14ac:dyDescent="0.25">
      <c r="A96" s="27" t="str">
        <f>IF('E-Barrows'!A96&lt;'Adj-Barrows'!$B$10,'E-Barrows'!B96," ")</f>
        <v xml:space="preserve"> </v>
      </c>
      <c r="B96" s="25" t="str">
        <f>IF('E-Barrows'!A96&lt;'Adj-Barrows'!$B$10,'E-Barrows'!A96," ")</f>
        <v xml:space="preserve"> </v>
      </c>
      <c r="C96" s="25" t="str">
        <f>IF('E-Barrows'!A96&lt;'Adj-Barrows'!$B$10,'E-Barrows'!C96," ")</f>
        <v xml:space="preserve"> </v>
      </c>
      <c r="D96" s="27" t="str">
        <f>IF('E-Barrows'!A96&lt;'Adj-Barrows'!$B$10,'E-Barrows'!G96," ")</f>
        <v xml:space="preserve"> </v>
      </c>
      <c r="E96" s="26" t="str">
        <f>IF('E-Barrows'!A96&lt;'Adj-Barrows'!$B$10,'E-Barrows'!D96," ")</f>
        <v xml:space="preserve"> </v>
      </c>
      <c r="F96" s="26"/>
      <c r="G96" s="216" t="str">
        <f t="shared" si="5"/>
        <v xml:space="preserve"> </v>
      </c>
      <c r="H96" s="27" t="str">
        <f>IF('E-Barrows'!A96&lt;'Adj-Barrows'!$B$10,'E-Barrows'!I96," ")</f>
        <v xml:space="preserve"> </v>
      </c>
      <c r="I96" s="217" t="str">
        <f>IF('E-Barrows'!A96&lt;'Adj-Barrows'!$B$10,'E-Barrows'!A96," ")</f>
        <v xml:space="preserve"> </v>
      </c>
      <c r="J96" s="25" t="str">
        <f>IF('E-Barrows'!A96&lt;'Adj-Barrows'!$B$10,'E-Barrows'!J96," ")</f>
        <v xml:space="preserve"> </v>
      </c>
      <c r="K96" s="27" t="str">
        <f>IF('E-Barrows'!A96&lt;'Adj-Barrows'!$B$10,'E-Barrows'!N96," ")</f>
        <v xml:space="preserve"> </v>
      </c>
      <c r="L96" s="26" t="str">
        <f>IF('E-Barrows'!A96&lt;'Adj-Barrows'!$B$10,'E-Barrows'!K96," ")</f>
        <v xml:space="preserve"> </v>
      </c>
      <c r="M96" s="27" t="str">
        <f>IF('E-Barrows'!A96&lt;'Adj-Barrows'!$B$10,'E-Barrows'!M96," ")</f>
        <v xml:space="preserve"> </v>
      </c>
      <c r="N96" s="29" t="str">
        <f>IF('E-Barrows'!A96&lt;'Adj-Barrows'!$B$10,1/L96," ")</f>
        <v xml:space="preserve"> </v>
      </c>
      <c r="O96" s="19"/>
      <c r="P96" s="30" t="str">
        <f t="shared" si="6"/>
        <v/>
      </c>
      <c r="Q96" s="30" t="str">
        <f t="shared" si="7"/>
        <v/>
      </c>
      <c r="R96" s="30" t="str">
        <f t="shared" si="8"/>
        <v/>
      </c>
    </row>
    <row r="97" spans="1:18" x14ac:dyDescent="0.25">
      <c r="A97" s="27" t="str">
        <f>IF('E-Barrows'!A97&lt;'Adj-Barrows'!$B$10,'E-Barrows'!B97," ")</f>
        <v xml:space="preserve"> </v>
      </c>
      <c r="B97" s="25" t="str">
        <f>IF('E-Barrows'!A97&lt;'Adj-Barrows'!$B$10,'E-Barrows'!A97," ")</f>
        <v xml:space="preserve"> </v>
      </c>
      <c r="C97" s="25" t="str">
        <f>IF('E-Barrows'!A97&lt;'Adj-Barrows'!$B$10,'E-Barrows'!C97," ")</f>
        <v xml:space="preserve"> </v>
      </c>
      <c r="D97" s="27" t="str">
        <f>IF('E-Barrows'!A97&lt;'Adj-Barrows'!$B$10,'E-Barrows'!G97," ")</f>
        <v xml:space="preserve"> </v>
      </c>
      <c r="E97" s="26" t="str">
        <f>IF('E-Barrows'!A97&lt;'Adj-Barrows'!$B$10,'E-Barrows'!D97," ")</f>
        <v xml:space="preserve"> </v>
      </c>
      <c r="F97" s="26"/>
      <c r="G97" s="216" t="str">
        <f t="shared" si="5"/>
        <v xml:space="preserve"> </v>
      </c>
      <c r="H97" s="27" t="str">
        <f>IF('E-Barrows'!A97&lt;'Adj-Barrows'!$B$10,'E-Barrows'!I97," ")</f>
        <v xml:space="preserve"> </v>
      </c>
      <c r="I97" s="217" t="str">
        <f>IF('E-Barrows'!A97&lt;'Adj-Barrows'!$B$10,'E-Barrows'!A97," ")</f>
        <v xml:space="preserve"> </v>
      </c>
      <c r="J97" s="25" t="str">
        <f>IF('E-Barrows'!A97&lt;'Adj-Barrows'!$B$10,'E-Barrows'!J97," ")</f>
        <v xml:space="preserve"> </v>
      </c>
      <c r="K97" s="27" t="str">
        <f>IF('E-Barrows'!A97&lt;'Adj-Barrows'!$B$10,'E-Barrows'!N97," ")</f>
        <v xml:space="preserve"> </v>
      </c>
      <c r="L97" s="26" t="str">
        <f>IF('E-Barrows'!A97&lt;'Adj-Barrows'!$B$10,'E-Barrows'!K97," ")</f>
        <v xml:space="preserve"> </v>
      </c>
      <c r="M97" s="27" t="str">
        <f>IF('E-Barrows'!A97&lt;'Adj-Barrows'!$B$10,'E-Barrows'!M97," ")</f>
        <v xml:space="preserve"> </v>
      </c>
      <c r="N97" s="29" t="str">
        <f>IF('E-Barrows'!A97&lt;'Adj-Barrows'!$B$10,1/L97," ")</f>
        <v xml:space="preserve"> </v>
      </c>
      <c r="O97" s="19"/>
      <c r="P97" s="30" t="str">
        <f t="shared" si="6"/>
        <v/>
      </c>
      <c r="Q97" s="30" t="str">
        <f t="shared" si="7"/>
        <v/>
      </c>
      <c r="R97" s="30" t="str">
        <f t="shared" si="8"/>
        <v/>
      </c>
    </row>
    <row r="98" spans="1:18" x14ac:dyDescent="0.25">
      <c r="A98" s="27" t="str">
        <f>IF('E-Barrows'!A98&lt;'Adj-Barrows'!$B$10,'E-Barrows'!B98," ")</f>
        <v xml:space="preserve"> </v>
      </c>
      <c r="B98" s="25" t="str">
        <f>IF('E-Barrows'!A98&lt;'Adj-Barrows'!$B$10,'E-Barrows'!A98," ")</f>
        <v xml:space="preserve"> </v>
      </c>
      <c r="C98" s="25" t="str">
        <f>IF('E-Barrows'!A98&lt;'Adj-Barrows'!$B$10,'E-Barrows'!C98," ")</f>
        <v xml:space="preserve"> </v>
      </c>
      <c r="D98" s="27" t="str">
        <f>IF('E-Barrows'!A98&lt;'Adj-Barrows'!$B$10,'E-Barrows'!G98," ")</f>
        <v xml:space="preserve"> </v>
      </c>
      <c r="E98" s="26" t="str">
        <f>IF('E-Barrows'!A98&lt;'Adj-Barrows'!$B$10,'E-Barrows'!D98," ")</f>
        <v xml:space="preserve"> </v>
      </c>
      <c r="F98" s="26"/>
      <c r="G98" s="216" t="str">
        <f t="shared" si="5"/>
        <v xml:space="preserve"> </v>
      </c>
      <c r="H98" s="27" t="str">
        <f>IF('E-Barrows'!A98&lt;'Adj-Barrows'!$B$10,'E-Barrows'!I98," ")</f>
        <v xml:space="preserve"> </v>
      </c>
      <c r="I98" s="217" t="str">
        <f>IF('E-Barrows'!A98&lt;'Adj-Barrows'!$B$10,'E-Barrows'!A98," ")</f>
        <v xml:space="preserve"> </v>
      </c>
      <c r="J98" s="25" t="str">
        <f>IF('E-Barrows'!A98&lt;'Adj-Barrows'!$B$10,'E-Barrows'!J98," ")</f>
        <v xml:space="preserve"> </v>
      </c>
      <c r="K98" s="27" t="str">
        <f>IF('E-Barrows'!A98&lt;'Adj-Barrows'!$B$10,'E-Barrows'!N98," ")</f>
        <v xml:space="preserve"> </v>
      </c>
      <c r="L98" s="26" t="str">
        <f>IF('E-Barrows'!A98&lt;'Adj-Barrows'!$B$10,'E-Barrows'!K98," ")</f>
        <v xml:space="preserve"> </v>
      </c>
      <c r="M98" s="27" t="str">
        <f>IF('E-Barrows'!A98&lt;'Adj-Barrows'!$B$10,'E-Barrows'!M98," ")</f>
        <v xml:space="preserve"> </v>
      </c>
      <c r="N98" s="29" t="str">
        <f>IF('E-Barrows'!A98&lt;'Adj-Barrows'!$B$10,1/L98," ")</f>
        <v xml:space="preserve"> </v>
      </c>
      <c r="O98" s="19"/>
      <c r="P98" s="30" t="str">
        <f t="shared" si="6"/>
        <v/>
      </c>
      <c r="Q98" s="30" t="str">
        <f t="shared" si="7"/>
        <v/>
      </c>
      <c r="R98" s="30" t="str">
        <f t="shared" si="8"/>
        <v/>
      </c>
    </row>
    <row r="99" spans="1:18" x14ac:dyDescent="0.25">
      <c r="A99" s="27" t="str">
        <f>IF('E-Barrows'!A99&lt;'Adj-Barrows'!$B$10,'E-Barrows'!B99," ")</f>
        <v xml:space="preserve"> </v>
      </c>
      <c r="B99" s="25" t="str">
        <f>IF('E-Barrows'!A99&lt;'Adj-Barrows'!$B$10,'E-Barrows'!A99," ")</f>
        <v xml:space="preserve"> </v>
      </c>
      <c r="C99" s="25" t="str">
        <f>IF('E-Barrows'!A99&lt;'Adj-Barrows'!$B$10,'E-Barrows'!C99," ")</f>
        <v xml:space="preserve"> </v>
      </c>
      <c r="D99" s="27" t="str">
        <f>IF('E-Barrows'!A99&lt;'Adj-Barrows'!$B$10,'E-Barrows'!G99," ")</f>
        <v xml:space="preserve"> </v>
      </c>
      <c r="E99" s="26" t="str">
        <f>IF('E-Barrows'!A99&lt;'Adj-Barrows'!$B$10,'E-Barrows'!D99," ")</f>
        <v xml:space="preserve"> </v>
      </c>
      <c r="F99" s="26"/>
      <c r="G99" s="216" t="str">
        <f t="shared" si="5"/>
        <v xml:space="preserve"> </v>
      </c>
      <c r="H99" s="27" t="str">
        <f>IF('E-Barrows'!A99&lt;'Adj-Barrows'!$B$10,'E-Barrows'!I99," ")</f>
        <v xml:space="preserve"> </v>
      </c>
      <c r="I99" s="217" t="str">
        <f>IF('E-Barrows'!A99&lt;'Adj-Barrows'!$B$10,'E-Barrows'!A99," ")</f>
        <v xml:space="preserve"> </v>
      </c>
      <c r="J99" s="25" t="str">
        <f>IF('E-Barrows'!A99&lt;'Adj-Barrows'!$B$10,'E-Barrows'!J99," ")</f>
        <v xml:space="preserve"> </v>
      </c>
      <c r="K99" s="27" t="str">
        <f>IF('E-Barrows'!A99&lt;'Adj-Barrows'!$B$10,'E-Barrows'!N99," ")</f>
        <v xml:space="preserve"> </v>
      </c>
      <c r="L99" s="26" t="str">
        <f>IF('E-Barrows'!A99&lt;'Adj-Barrows'!$B$10,'E-Barrows'!K99," ")</f>
        <v xml:space="preserve"> </v>
      </c>
      <c r="M99" s="27" t="str">
        <f>IF('E-Barrows'!A99&lt;'Adj-Barrows'!$B$10,'E-Barrows'!M99," ")</f>
        <v xml:space="preserve"> </v>
      </c>
      <c r="N99" s="29" t="str">
        <f>IF('E-Barrows'!A99&lt;'Adj-Barrows'!$B$10,1/L99," ")</f>
        <v xml:space="preserve"> </v>
      </c>
      <c r="O99" s="19"/>
      <c r="P99" s="30" t="str">
        <f t="shared" si="6"/>
        <v/>
      </c>
      <c r="Q99" s="30" t="str">
        <f t="shared" si="7"/>
        <v/>
      </c>
      <c r="R99" s="30" t="str">
        <f t="shared" si="8"/>
        <v/>
      </c>
    </row>
    <row r="100" spans="1:18" x14ac:dyDescent="0.25">
      <c r="A100" s="27" t="str">
        <f>IF('E-Barrows'!A100&lt;'Adj-Barrows'!$B$10,'E-Barrows'!B100," ")</f>
        <v xml:space="preserve"> </v>
      </c>
      <c r="B100" s="25" t="str">
        <f>IF('E-Barrows'!A100&lt;'Adj-Barrows'!$B$10,'E-Barrows'!A100," ")</f>
        <v xml:space="preserve"> </v>
      </c>
      <c r="C100" s="25" t="str">
        <f>IF('E-Barrows'!A100&lt;'Adj-Barrows'!$B$10,'E-Barrows'!C100," ")</f>
        <v xml:space="preserve"> </v>
      </c>
      <c r="D100" s="27" t="str">
        <f>IF('E-Barrows'!A100&lt;'Adj-Barrows'!$B$10,'E-Barrows'!G100," ")</f>
        <v xml:space="preserve"> </v>
      </c>
      <c r="E100" s="26" t="str">
        <f>IF('E-Barrows'!A100&lt;'Adj-Barrows'!$B$10,'E-Barrows'!D100," ")</f>
        <v xml:space="preserve"> </v>
      </c>
      <c r="F100" s="26"/>
      <c r="G100" s="216" t="str">
        <f t="shared" si="5"/>
        <v xml:space="preserve"> </v>
      </c>
      <c r="H100" s="27" t="str">
        <f>IF('E-Barrows'!A100&lt;'Adj-Barrows'!$B$10,'E-Barrows'!I100," ")</f>
        <v xml:space="preserve"> </v>
      </c>
      <c r="I100" s="217" t="str">
        <f>IF('E-Barrows'!A100&lt;'Adj-Barrows'!$B$10,'E-Barrows'!A100," ")</f>
        <v xml:space="preserve"> </v>
      </c>
      <c r="J100" s="25" t="str">
        <f>IF('E-Barrows'!A100&lt;'Adj-Barrows'!$B$10,'E-Barrows'!J100," ")</f>
        <v xml:space="preserve"> </v>
      </c>
      <c r="K100" s="27" t="str">
        <f>IF('E-Barrows'!A100&lt;'Adj-Barrows'!$B$10,'E-Barrows'!N100," ")</f>
        <v xml:space="preserve"> </v>
      </c>
      <c r="L100" s="26" t="str">
        <f>IF('E-Barrows'!A100&lt;'Adj-Barrows'!$B$10,'E-Barrows'!K100," ")</f>
        <v xml:space="preserve"> </v>
      </c>
      <c r="M100" s="27" t="str">
        <f>IF('E-Barrows'!A100&lt;'Adj-Barrows'!$B$10,'E-Barrows'!M100," ")</f>
        <v xml:space="preserve"> </v>
      </c>
      <c r="N100" s="29" t="str">
        <f>IF('E-Barrows'!A100&lt;'Adj-Barrows'!$B$10,1/L100," ")</f>
        <v xml:space="preserve"> </v>
      </c>
      <c r="O100" s="19"/>
      <c r="P100" s="30" t="str">
        <f t="shared" si="6"/>
        <v/>
      </c>
      <c r="Q100" s="30" t="str">
        <f t="shared" si="7"/>
        <v/>
      </c>
      <c r="R100" s="30" t="str">
        <f t="shared" si="8"/>
        <v/>
      </c>
    </row>
    <row r="101" spans="1:18" x14ac:dyDescent="0.25">
      <c r="A101" s="27" t="str">
        <f>IF('E-Barrows'!A101&lt;'Adj-Barrows'!$B$10,'E-Barrows'!B101," ")</f>
        <v xml:space="preserve"> </v>
      </c>
      <c r="B101" s="25" t="str">
        <f>IF('E-Barrows'!A101&lt;'Adj-Barrows'!$B$10,'E-Barrows'!A101," ")</f>
        <v xml:space="preserve"> </v>
      </c>
      <c r="C101" s="25" t="str">
        <f>IF('E-Barrows'!A101&lt;'Adj-Barrows'!$B$10,'E-Barrows'!C101," ")</f>
        <v xml:space="preserve"> </v>
      </c>
      <c r="D101" s="27" t="str">
        <f>IF('E-Barrows'!A101&lt;'Adj-Barrows'!$B$10,'E-Barrows'!G101," ")</f>
        <v xml:space="preserve"> </v>
      </c>
      <c r="E101" s="26" t="str">
        <f>IF('E-Barrows'!A101&lt;'Adj-Barrows'!$B$10,'E-Barrows'!D101," ")</f>
        <v xml:space="preserve"> </v>
      </c>
      <c r="F101" s="26"/>
      <c r="G101" s="216" t="str">
        <f t="shared" si="5"/>
        <v xml:space="preserve"> </v>
      </c>
      <c r="H101" s="27" t="str">
        <f>IF('E-Barrows'!A101&lt;'Adj-Barrows'!$B$10,'E-Barrows'!I101," ")</f>
        <v xml:space="preserve"> </v>
      </c>
      <c r="I101" s="217" t="str">
        <f>IF('E-Barrows'!A101&lt;'Adj-Barrows'!$B$10,'E-Barrows'!A101," ")</f>
        <v xml:space="preserve"> </v>
      </c>
      <c r="J101" s="25" t="str">
        <f>IF('E-Barrows'!A101&lt;'Adj-Barrows'!$B$10,'E-Barrows'!J101," ")</f>
        <v xml:space="preserve"> </v>
      </c>
      <c r="K101" s="27" t="str">
        <f>IF('E-Barrows'!A101&lt;'Adj-Barrows'!$B$10,'E-Barrows'!N101," ")</f>
        <v xml:space="preserve"> </v>
      </c>
      <c r="L101" s="26" t="str">
        <f>IF('E-Barrows'!A101&lt;'Adj-Barrows'!$B$10,'E-Barrows'!K101," ")</f>
        <v xml:space="preserve"> </v>
      </c>
      <c r="M101" s="27" t="str">
        <f>IF('E-Barrows'!A101&lt;'Adj-Barrows'!$B$10,'E-Barrows'!M101," ")</f>
        <v xml:space="preserve"> </v>
      </c>
      <c r="N101" s="29" t="str">
        <f>IF('E-Barrows'!A101&lt;'Adj-Barrows'!$B$10,1/L101," ")</f>
        <v xml:space="preserve"> </v>
      </c>
      <c r="O101" s="19"/>
      <c r="P101" s="30" t="str">
        <f t="shared" si="6"/>
        <v/>
      </c>
      <c r="Q101" s="30" t="str">
        <f t="shared" si="7"/>
        <v/>
      </c>
      <c r="R101" s="30" t="str">
        <f t="shared" si="8"/>
        <v/>
      </c>
    </row>
    <row r="102" spans="1:18" x14ac:dyDescent="0.25">
      <c r="A102" s="27" t="str">
        <f>IF('E-Barrows'!A102&lt;'Adj-Barrows'!$B$10,'E-Barrows'!B102," ")</f>
        <v xml:space="preserve"> </v>
      </c>
      <c r="B102" s="25" t="str">
        <f>IF('E-Barrows'!A102&lt;'Adj-Barrows'!$B$10,'E-Barrows'!A102," ")</f>
        <v xml:space="preserve"> </v>
      </c>
      <c r="C102" s="25" t="str">
        <f>IF('E-Barrows'!A102&lt;'Adj-Barrows'!$B$10,'E-Barrows'!C102," ")</f>
        <v xml:space="preserve"> </v>
      </c>
      <c r="D102" s="27" t="str">
        <f>IF('E-Barrows'!A102&lt;'Adj-Barrows'!$B$10,'E-Barrows'!G102," ")</f>
        <v xml:space="preserve"> </v>
      </c>
      <c r="E102" s="26" t="str">
        <f>IF('E-Barrows'!A102&lt;'Adj-Barrows'!$B$10,'E-Barrows'!D102," ")</f>
        <v xml:space="preserve"> </v>
      </c>
      <c r="F102" s="26"/>
      <c r="G102" s="216" t="str">
        <f t="shared" si="5"/>
        <v xml:space="preserve"> </v>
      </c>
      <c r="H102" s="27" t="str">
        <f>IF('E-Barrows'!A102&lt;'Adj-Barrows'!$B$10,'E-Barrows'!I102," ")</f>
        <v xml:space="preserve"> </v>
      </c>
      <c r="I102" s="217" t="str">
        <f>IF('E-Barrows'!A102&lt;'Adj-Barrows'!$B$10,'E-Barrows'!A102," ")</f>
        <v xml:space="preserve"> </v>
      </c>
      <c r="J102" s="25" t="str">
        <f>IF('E-Barrows'!A102&lt;'Adj-Barrows'!$B$10,'E-Barrows'!J102," ")</f>
        <v xml:space="preserve"> </v>
      </c>
      <c r="K102" s="27" t="str">
        <f>IF('E-Barrows'!A102&lt;'Adj-Barrows'!$B$10,'E-Barrows'!N102," ")</f>
        <v xml:space="preserve"> </v>
      </c>
      <c r="L102" s="26" t="str">
        <f>IF('E-Barrows'!A102&lt;'Adj-Barrows'!$B$10,'E-Barrows'!K102," ")</f>
        <v xml:space="preserve"> </v>
      </c>
      <c r="M102" s="27" t="str">
        <f>IF('E-Barrows'!A102&lt;'Adj-Barrows'!$B$10,'E-Barrows'!M102," ")</f>
        <v xml:space="preserve"> </v>
      </c>
      <c r="N102" s="29" t="str">
        <f>IF('E-Barrows'!A102&lt;'Adj-Barrows'!$B$10,1/L102," ")</f>
        <v xml:space="preserve"> </v>
      </c>
      <c r="O102" s="19"/>
      <c r="P102" s="30" t="str">
        <f t="shared" si="6"/>
        <v/>
      </c>
      <c r="Q102" s="30" t="str">
        <f t="shared" si="7"/>
        <v/>
      </c>
      <c r="R102" s="30" t="str">
        <f t="shared" si="8"/>
        <v/>
      </c>
    </row>
    <row r="103" spans="1:18" x14ac:dyDescent="0.25">
      <c r="A103" s="27" t="str">
        <f>IF('E-Barrows'!A103&lt;'Adj-Barrows'!$B$10,'E-Barrows'!B103," ")</f>
        <v xml:space="preserve"> </v>
      </c>
      <c r="B103" s="25" t="str">
        <f>IF('E-Barrows'!A103&lt;'Adj-Barrows'!$B$10,'E-Barrows'!A103," ")</f>
        <v xml:space="preserve"> </v>
      </c>
      <c r="C103" s="25" t="str">
        <f>IF('E-Barrows'!A103&lt;'Adj-Barrows'!$B$10,'E-Barrows'!C103," ")</f>
        <v xml:space="preserve"> </v>
      </c>
      <c r="D103" s="27" t="str">
        <f>IF('E-Barrows'!A103&lt;'Adj-Barrows'!$B$10,'E-Barrows'!G103," ")</f>
        <v xml:space="preserve"> </v>
      </c>
      <c r="E103" s="26" t="str">
        <f>IF('E-Barrows'!A103&lt;'Adj-Barrows'!$B$10,'E-Barrows'!D103," ")</f>
        <v xml:space="preserve"> </v>
      </c>
      <c r="F103" s="26"/>
      <c r="G103" s="216" t="str">
        <f t="shared" si="5"/>
        <v xml:space="preserve"> </v>
      </c>
      <c r="H103" s="27" t="str">
        <f>IF('E-Barrows'!A103&lt;'Adj-Barrows'!$B$10,'E-Barrows'!I103," ")</f>
        <v xml:space="preserve"> </v>
      </c>
      <c r="I103" s="217" t="str">
        <f>IF('E-Barrows'!A103&lt;'Adj-Barrows'!$B$10,'E-Barrows'!A103," ")</f>
        <v xml:space="preserve"> </v>
      </c>
      <c r="J103" s="25" t="str">
        <f>IF('E-Barrows'!A103&lt;'Adj-Barrows'!$B$10,'E-Barrows'!J103," ")</f>
        <v xml:space="preserve"> </v>
      </c>
      <c r="K103" s="27" t="str">
        <f>IF('E-Barrows'!A103&lt;'Adj-Barrows'!$B$10,'E-Barrows'!N103," ")</f>
        <v xml:space="preserve"> </v>
      </c>
      <c r="L103" s="26" t="str">
        <f>IF('E-Barrows'!A103&lt;'Adj-Barrows'!$B$10,'E-Barrows'!K103," ")</f>
        <v xml:space="preserve"> </v>
      </c>
      <c r="M103" s="27" t="str">
        <f>IF('E-Barrows'!A103&lt;'Adj-Barrows'!$B$10,'E-Barrows'!M103," ")</f>
        <v xml:space="preserve"> </v>
      </c>
      <c r="N103" s="29" t="str">
        <f>IF('E-Barrows'!A103&lt;'Adj-Barrows'!$B$10,1/L103," ")</f>
        <v xml:space="preserve"> </v>
      </c>
      <c r="O103" s="19"/>
      <c r="P103" s="30" t="str">
        <f t="shared" si="6"/>
        <v/>
      </c>
      <c r="Q103" s="30" t="str">
        <f t="shared" si="7"/>
        <v/>
      </c>
      <c r="R103" s="30" t="str">
        <f t="shared" si="8"/>
        <v/>
      </c>
    </row>
    <row r="104" spans="1:18" x14ac:dyDescent="0.25">
      <c r="A104" s="27" t="str">
        <f>IF('E-Barrows'!A104&lt;'Adj-Barrows'!$B$10,'E-Barrows'!B104," ")</f>
        <v xml:space="preserve"> </v>
      </c>
      <c r="B104" s="25" t="str">
        <f>IF('E-Barrows'!A104&lt;'Adj-Barrows'!$B$10,'E-Barrows'!A104," ")</f>
        <v xml:space="preserve"> </v>
      </c>
      <c r="C104" s="25" t="str">
        <f>IF('E-Barrows'!A104&lt;'Adj-Barrows'!$B$10,'E-Barrows'!C104," ")</f>
        <v xml:space="preserve"> </v>
      </c>
      <c r="D104" s="27" t="str">
        <f>IF('E-Barrows'!A104&lt;'Adj-Barrows'!$B$10,'E-Barrows'!G104," ")</f>
        <v xml:space="preserve"> </v>
      </c>
      <c r="E104" s="26" t="str">
        <f>IF('E-Barrows'!A104&lt;'Adj-Barrows'!$B$10,'E-Barrows'!D104," ")</f>
        <v xml:space="preserve"> </v>
      </c>
      <c r="F104" s="26"/>
      <c r="G104" s="216" t="str">
        <f t="shared" si="5"/>
        <v xml:space="preserve"> </v>
      </c>
      <c r="H104" s="27" t="str">
        <f>IF('E-Barrows'!A104&lt;'Adj-Barrows'!$B$10,'E-Barrows'!I104," ")</f>
        <v xml:space="preserve"> </v>
      </c>
      <c r="I104" s="217" t="str">
        <f>IF('E-Barrows'!A104&lt;'Adj-Barrows'!$B$10,'E-Barrows'!A104," ")</f>
        <v xml:space="preserve"> </v>
      </c>
      <c r="J104" s="25" t="str">
        <f>IF('E-Barrows'!A104&lt;'Adj-Barrows'!$B$10,'E-Barrows'!J104," ")</f>
        <v xml:space="preserve"> </v>
      </c>
      <c r="K104" s="27" t="str">
        <f>IF('E-Barrows'!A104&lt;'Adj-Barrows'!$B$10,'E-Barrows'!N104," ")</f>
        <v xml:space="preserve"> </v>
      </c>
      <c r="L104" s="26" t="str">
        <f>IF('E-Barrows'!A104&lt;'Adj-Barrows'!$B$10,'E-Barrows'!K104," ")</f>
        <v xml:space="preserve"> </v>
      </c>
      <c r="M104" s="27" t="str">
        <f>IF('E-Barrows'!A104&lt;'Adj-Barrows'!$B$10,'E-Barrows'!M104," ")</f>
        <v xml:space="preserve"> </v>
      </c>
      <c r="N104" s="29" t="str">
        <f>IF('E-Barrows'!A104&lt;'Adj-Barrows'!$B$10,1/L104," ")</f>
        <v xml:space="preserve"> </v>
      </c>
      <c r="O104" s="19"/>
      <c r="P104" s="30" t="str">
        <f t="shared" si="6"/>
        <v/>
      </c>
      <c r="Q104" s="30" t="str">
        <f t="shared" si="7"/>
        <v/>
      </c>
      <c r="R104" s="30" t="str">
        <f t="shared" si="8"/>
        <v/>
      </c>
    </row>
    <row r="105" spans="1:18" x14ac:dyDescent="0.25">
      <c r="A105" s="27" t="str">
        <f>IF('E-Barrows'!A105&lt;'Adj-Barrows'!$B$10,'E-Barrows'!B105," ")</f>
        <v xml:space="preserve"> </v>
      </c>
      <c r="B105" s="25" t="str">
        <f>IF('E-Barrows'!A105&lt;'Adj-Barrows'!$B$10,'E-Barrows'!A105," ")</f>
        <v xml:space="preserve"> </v>
      </c>
      <c r="C105" s="25" t="str">
        <f>IF('E-Barrows'!A105&lt;'Adj-Barrows'!$B$10,'E-Barrows'!C105," ")</f>
        <v xml:space="preserve"> </v>
      </c>
      <c r="D105" s="27" t="str">
        <f>IF('E-Barrows'!A105&lt;'Adj-Barrows'!$B$10,'E-Barrows'!G105," ")</f>
        <v xml:space="preserve"> </v>
      </c>
      <c r="E105" s="26" t="str">
        <f>IF('E-Barrows'!A105&lt;'Adj-Barrows'!$B$10,'E-Barrows'!D105," ")</f>
        <v xml:space="preserve"> </v>
      </c>
      <c r="F105" s="26"/>
      <c r="G105" s="216" t="str">
        <f t="shared" si="5"/>
        <v xml:space="preserve"> </v>
      </c>
      <c r="H105" s="27" t="str">
        <f>IF('E-Barrows'!A105&lt;'Adj-Barrows'!$B$10,'E-Barrows'!I105," ")</f>
        <v xml:space="preserve"> </v>
      </c>
      <c r="I105" s="217" t="str">
        <f>IF('E-Barrows'!A105&lt;'Adj-Barrows'!$B$10,'E-Barrows'!A105," ")</f>
        <v xml:space="preserve"> </v>
      </c>
      <c r="J105" s="25" t="str">
        <f>IF('E-Barrows'!A105&lt;'Adj-Barrows'!$B$10,'E-Barrows'!J105," ")</f>
        <v xml:space="preserve"> </v>
      </c>
      <c r="K105" s="27" t="str">
        <f>IF('E-Barrows'!A105&lt;'Adj-Barrows'!$B$10,'E-Barrows'!N105," ")</f>
        <v xml:space="preserve"> </v>
      </c>
      <c r="L105" s="26" t="str">
        <f>IF('E-Barrows'!A105&lt;'Adj-Barrows'!$B$10,'E-Barrows'!K105," ")</f>
        <v xml:space="preserve"> </v>
      </c>
      <c r="M105" s="27" t="str">
        <f>IF('E-Barrows'!A105&lt;'Adj-Barrows'!$B$10,'E-Barrows'!M105," ")</f>
        <v xml:space="preserve"> </v>
      </c>
      <c r="N105" s="29" t="str">
        <f>IF('E-Barrows'!A105&lt;'Adj-Barrows'!$B$10,1/L105," ")</f>
        <v xml:space="preserve"> </v>
      </c>
      <c r="O105" s="19"/>
      <c r="P105" s="30" t="str">
        <f t="shared" si="6"/>
        <v/>
      </c>
      <c r="Q105" s="30" t="str">
        <f t="shared" si="7"/>
        <v/>
      </c>
      <c r="R105" s="30" t="str">
        <f t="shared" si="8"/>
        <v/>
      </c>
    </row>
    <row r="106" spans="1:18" x14ac:dyDescent="0.25">
      <c r="A106" s="27" t="str">
        <f>IF('E-Barrows'!A106&lt;'Adj-Barrows'!$B$10,'E-Barrows'!B106," ")</f>
        <v xml:space="preserve"> </v>
      </c>
      <c r="B106" s="25" t="str">
        <f>IF('E-Barrows'!A106&lt;'Adj-Barrows'!$B$10,'E-Barrows'!A106," ")</f>
        <v xml:space="preserve"> </v>
      </c>
      <c r="C106" s="25" t="str">
        <f>IF('E-Barrows'!A106&lt;'Adj-Barrows'!$B$10,'E-Barrows'!C106," ")</f>
        <v xml:space="preserve"> </v>
      </c>
      <c r="D106" s="27" t="str">
        <f>IF('E-Barrows'!A106&lt;'Adj-Barrows'!$B$10,'E-Barrows'!G106," ")</f>
        <v xml:space="preserve"> </v>
      </c>
      <c r="E106" s="26" t="str">
        <f>IF('E-Barrows'!A106&lt;'Adj-Barrows'!$B$10,'E-Barrows'!D106," ")</f>
        <v xml:space="preserve"> </v>
      </c>
      <c r="F106" s="26"/>
      <c r="G106" s="216" t="str">
        <f t="shared" si="5"/>
        <v xml:space="preserve"> </v>
      </c>
      <c r="H106" s="27" t="str">
        <f>IF('E-Barrows'!A106&lt;'Adj-Barrows'!$B$10,'E-Barrows'!I106," ")</f>
        <v xml:space="preserve"> </v>
      </c>
      <c r="I106" s="217" t="str">
        <f>IF('E-Barrows'!A106&lt;'Adj-Barrows'!$B$10,'E-Barrows'!A106," ")</f>
        <v xml:space="preserve"> </v>
      </c>
      <c r="J106" s="25" t="str">
        <f>IF('E-Barrows'!A106&lt;'Adj-Barrows'!$B$10,'E-Barrows'!J106," ")</f>
        <v xml:space="preserve"> </v>
      </c>
      <c r="K106" s="27" t="str">
        <f>IF('E-Barrows'!A106&lt;'Adj-Barrows'!$B$10,'E-Barrows'!N106," ")</f>
        <v xml:space="preserve"> </v>
      </c>
      <c r="L106" s="26" t="str">
        <f>IF('E-Barrows'!A106&lt;'Adj-Barrows'!$B$10,'E-Barrows'!K106," ")</f>
        <v xml:space="preserve"> </v>
      </c>
      <c r="M106" s="27" t="str">
        <f>IF('E-Barrows'!A106&lt;'Adj-Barrows'!$B$10,'E-Barrows'!M106," ")</f>
        <v xml:space="preserve"> </v>
      </c>
      <c r="N106" s="29" t="str">
        <f>IF('E-Barrows'!A106&lt;'Adj-Barrows'!$B$10,1/L106," ")</f>
        <v xml:space="preserve"> </v>
      </c>
      <c r="O106" s="19"/>
      <c r="P106" s="30" t="str">
        <f t="shared" si="6"/>
        <v/>
      </c>
      <c r="Q106" s="30" t="str">
        <f t="shared" si="7"/>
        <v/>
      </c>
      <c r="R106" s="30" t="str">
        <f t="shared" si="8"/>
        <v/>
      </c>
    </row>
    <row r="107" spans="1:18" x14ac:dyDescent="0.25">
      <c r="A107" s="27" t="str">
        <f>IF('E-Barrows'!A107&lt;'Adj-Barrows'!$B$10,'E-Barrows'!B107," ")</f>
        <v xml:space="preserve"> </v>
      </c>
      <c r="B107" s="25" t="str">
        <f>IF('E-Barrows'!A107&lt;'Adj-Barrows'!$B$10,'E-Barrows'!A107," ")</f>
        <v xml:space="preserve"> </v>
      </c>
      <c r="C107" s="25" t="str">
        <f>IF('E-Barrows'!A107&lt;'Adj-Barrows'!$B$10,'E-Barrows'!C107," ")</f>
        <v xml:space="preserve"> </v>
      </c>
      <c r="D107" s="27" t="str">
        <f>IF('E-Barrows'!A107&lt;'Adj-Barrows'!$B$10,'E-Barrows'!G107," ")</f>
        <v xml:space="preserve"> </v>
      </c>
      <c r="E107" s="26" t="str">
        <f>IF('E-Barrows'!A107&lt;'Adj-Barrows'!$B$10,'E-Barrows'!D107," ")</f>
        <v xml:space="preserve"> </v>
      </c>
      <c r="F107" s="26"/>
      <c r="G107" s="216" t="str">
        <f t="shared" si="5"/>
        <v xml:space="preserve"> </v>
      </c>
      <c r="H107" s="27" t="str">
        <f>IF('E-Barrows'!A107&lt;'Adj-Barrows'!$B$10,'E-Barrows'!I107," ")</f>
        <v xml:space="preserve"> </v>
      </c>
      <c r="I107" s="217" t="str">
        <f>IF('E-Barrows'!A107&lt;'Adj-Barrows'!$B$10,'E-Barrows'!A107," ")</f>
        <v xml:space="preserve"> </v>
      </c>
      <c r="J107" s="25" t="str">
        <f>IF('E-Barrows'!A107&lt;'Adj-Barrows'!$B$10,'E-Barrows'!J107," ")</f>
        <v xml:space="preserve"> </v>
      </c>
      <c r="K107" s="27" t="str">
        <f>IF('E-Barrows'!A107&lt;'Adj-Barrows'!$B$10,'E-Barrows'!N107," ")</f>
        <v xml:space="preserve"> </v>
      </c>
      <c r="L107" s="26" t="str">
        <f>IF('E-Barrows'!A107&lt;'Adj-Barrows'!$B$10,'E-Barrows'!K107," ")</f>
        <v xml:space="preserve"> </v>
      </c>
      <c r="M107" s="27" t="str">
        <f>IF('E-Barrows'!A107&lt;'Adj-Barrows'!$B$10,'E-Barrows'!M107," ")</f>
        <v xml:space="preserve"> </v>
      </c>
      <c r="N107" s="29" t="str">
        <f>IF('E-Barrows'!A107&lt;'Adj-Barrows'!$B$10,1/L107," ")</f>
        <v xml:space="preserve"> </v>
      </c>
      <c r="O107" s="19"/>
      <c r="P107" s="30" t="str">
        <f t="shared" si="6"/>
        <v/>
      </c>
      <c r="Q107" s="30" t="str">
        <f t="shared" si="7"/>
        <v/>
      </c>
      <c r="R107" s="30" t="str">
        <f t="shared" si="8"/>
        <v/>
      </c>
    </row>
    <row r="108" spans="1:18" x14ac:dyDescent="0.25">
      <c r="A108" s="27" t="str">
        <f>IF('E-Barrows'!A108&lt;'Adj-Barrows'!$B$10,'E-Barrows'!B108," ")</f>
        <v xml:space="preserve"> </v>
      </c>
      <c r="B108" s="25" t="str">
        <f>IF('E-Barrows'!A108&lt;'Adj-Barrows'!$B$10,'E-Barrows'!A108," ")</f>
        <v xml:space="preserve"> </v>
      </c>
      <c r="C108" s="25" t="str">
        <f>IF('E-Barrows'!A108&lt;'Adj-Barrows'!$B$10,'E-Barrows'!C108," ")</f>
        <v xml:space="preserve"> </v>
      </c>
      <c r="D108" s="27" t="str">
        <f>IF('E-Barrows'!A108&lt;'Adj-Barrows'!$B$10,'E-Barrows'!G108," ")</f>
        <v xml:space="preserve"> </v>
      </c>
      <c r="E108" s="26" t="str">
        <f>IF('E-Barrows'!A108&lt;'Adj-Barrows'!$B$10,'E-Barrows'!D108," ")</f>
        <v xml:space="preserve"> </v>
      </c>
      <c r="F108" s="26"/>
      <c r="G108" s="216" t="str">
        <f t="shared" si="5"/>
        <v xml:space="preserve"> </v>
      </c>
      <c r="H108" s="27" t="str">
        <f>IF('E-Barrows'!A108&lt;'Adj-Barrows'!$B$10,'E-Barrows'!I108," ")</f>
        <v xml:space="preserve"> </v>
      </c>
      <c r="I108" s="217" t="str">
        <f>IF('E-Barrows'!A108&lt;'Adj-Barrows'!$B$10,'E-Barrows'!A108," ")</f>
        <v xml:space="preserve"> </v>
      </c>
      <c r="J108" s="25" t="str">
        <f>IF('E-Barrows'!A108&lt;'Adj-Barrows'!$B$10,'E-Barrows'!J108," ")</f>
        <v xml:space="preserve"> </v>
      </c>
      <c r="K108" s="27" t="str">
        <f>IF('E-Barrows'!A108&lt;'Adj-Barrows'!$B$10,'E-Barrows'!N108," ")</f>
        <v xml:space="preserve"> </v>
      </c>
      <c r="L108" s="26" t="str">
        <f>IF('E-Barrows'!A108&lt;'Adj-Barrows'!$B$10,'E-Barrows'!K108," ")</f>
        <v xml:space="preserve"> </v>
      </c>
      <c r="M108" s="27" t="str">
        <f>IF('E-Barrows'!A108&lt;'Adj-Barrows'!$B$10,'E-Barrows'!M108," ")</f>
        <v xml:space="preserve"> </v>
      </c>
      <c r="N108" s="29" t="str">
        <f>IF('E-Barrows'!A108&lt;'Adj-Barrows'!$B$10,1/L108," ")</f>
        <v xml:space="preserve"> </v>
      </c>
      <c r="O108" s="19"/>
      <c r="P108" s="30" t="str">
        <f t="shared" si="6"/>
        <v/>
      </c>
      <c r="Q108" s="30" t="str">
        <f t="shared" si="7"/>
        <v/>
      </c>
      <c r="R108" s="30" t="str">
        <f t="shared" si="8"/>
        <v/>
      </c>
    </row>
    <row r="109" spans="1:18" x14ac:dyDescent="0.25">
      <c r="A109" s="27" t="str">
        <f>IF('E-Barrows'!A109&lt;'Adj-Barrows'!$B$10,'E-Barrows'!B109," ")</f>
        <v xml:space="preserve"> </v>
      </c>
      <c r="B109" s="25" t="str">
        <f>IF('E-Barrows'!A109&lt;'Adj-Barrows'!$B$10,'E-Barrows'!A109," ")</f>
        <v xml:space="preserve"> </v>
      </c>
      <c r="C109" s="25" t="str">
        <f>IF('E-Barrows'!A109&lt;'Adj-Barrows'!$B$10,'E-Barrows'!C109," ")</f>
        <v xml:space="preserve"> </v>
      </c>
      <c r="D109" s="27" t="str">
        <f>IF('E-Barrows'!A109&lt;'Adj-Barrows'!$B$10,'E-Barrows'!G109," ")</f>
        <v xml:space="preserve"> </v>
      </c>
      <c r="E109" s="26" t="str">
        <f>IF('E-Barrows'!A109&lt;'Adj-Barrows'!$B$10,'E-Barrows'!D109," ")</f>
        <v xml:space="preserve"> </v>
      </c>
      <c r="F109" s="26"/>
      <c r="G109" s="216" t="str">
        <f t="shared" si="5"/>
        <v xml:space="preserve"> </v>
      </c>
      <c r="H109" s="27" t="str">
        <f>IF('E-Barrows'!A109&lt;'Adj-Barrows'!$B$10,'E-Barrows'!I109," ")</f>
        <v xml:space="preserve"> </v>
      </c>
      <c r="I109" s="217" t="str">
        <f>IF('E-Barrows'!A109&lt;'Adj-Barrows'!$B$10,'E-Barrows'!A109," ")</f>
        <v xml:space="preserve"> </v>
      </c>
      <c r="J109" s="25" t="str">
        <f>IF('E-Barrows'!A109&lt;'Adj-Barrows'!$B$10,'E-Barrows'!J109," ")</f>
        <v xml:space="preserve"> </v>
      </c>
      <c r="K109" s="27" t="str">
        <f>IF('E-Barrows'!A109&lt;'Adj-Barrows'!$B$10,'E-Barrows'!N109," ")</f>
        <v xml:space="preserve"> </v>
      </c>
      <c r="L109" s="26" t="str">
        <f>IF('E-Barrows'!A109&lt;'Adj-Barrows'!$B$10,'E-Barrows'!K109," ")</f>
        <v xml:space="preserve"> </v>
      </c>
      <c r="M109" s="27" t="str">
        <f>IF('E-Barrows'!A109&lt;'Adj-Barrows'!$B$10,'E-Barrows'!M109," ")</f>
        <v xml:space="preserve"> </v>
      </c>
      <c r="N109" s="29" t="str">
        <f>IF('E-Barrows'!A109&lt;'Adj-Barrows'!$B$10,1/L109," ")</f>
        <v xml:space="preserve"> </v>
      </c>
      <c r="O109" s="19"/>
      <c r="P109" s="30" t="str">
        <f t="shared" si="6"/>
        <v/>
      </c>
      <c r="Q109" s="30" t="str">
        <f t="shared" si="7"/>
        <v/>
      </c>
      <c r="R109" s="30" t="str">
        <f t="shared" si="8"/>
        <v/>
      </c>
    </row>
    <row r="110" spans="1:18" x14ac:dyDescent="0.25">
      <c r="A110" s="27" t="str">
        <f>IF('E-Barrows'!A110&lt;'Adj-Barrows'!$B$10,'E-Barrows'!B110," ")</f>
        <v xml:space="preserve"> </v>
      </c>
      <c r="B110" s="25" t="str">
        <f>IF('E-Barrows'!A110&lt;'Adj-Barrows'!$B$10,'E-Barrows'!A110," ")</f>
        <v xml:space="preserve"> </v>
      </c>
      <c r="C110" s="25" t="str">
        <f>IF('E-Barrows'!A110&lt;'Adj-Barrows'!$B$10,'E-Barrows'!C110," ")</f>
        <v xml:space="preserve"> </v>
      </c>
      <c r="D110" s="27" t="str">
        <f>IF('E-Barrows'!A110&lt;'Adj-Barrows'!$B$10,'E-Barrows'!G110," ")</f>
        <v xml:space="preserve"> </v>
      </c>
      <c r="E110" s="26" t="str">
        <f>IF('E-Barrows'!A110&lt;'Adj-Barrows'!$B$10,'E-Barrows'!D110," ")</f>
        <v xml:space="preserve"> </v>
      </c>
      <c r="F110" s="26"/>
      <c r="G110" s="216" t="str">
        <f t="shared" si="5"/>
        <v xml:space="preserve"> </v>
      </c>
      <c r="H110" s="27" t="str">
        <f>IF('E-Barrows'!A110&lt;'Adj-Barrows'!$B$10,'E-Barrows'!I110," ")</f>
        <v xml:space="preserve"> </v>
      </c>
      <c r="I110" s="217" t="str">
        <f>IF('E-Barrows'!A110&lt;'Adj-Barrows'!$B$10,'E-Barrows'!A110," ")</f>
        <v xml:space="preserve"> </v>
      </c>
      <c r="J110" s="25" t="str">
        <f>IF('E-Barrows'!A110&lt;'Adj-Barrows'!$B$10,'E-Barrows'!J110," ")</f>
        <v xml:space="preserve"> </v>
      </c>
      <c r="K110" s="27" t="str">
        <f>IF('E-Barrows'!A110&lt;'Adj-Barrows'!$B$10,'E-Barrows'!N110," ")</f>
        <v xml:space="preserve"> </v>
      </c>
      <c r="L110" s="26" t="str">
        <f>IF('E-Barrows'!A110&lt;'Adj-Barrows'!$B$10,'E-Barrows'!K110," ")</f>
        <v xml:space="preserve"> </v>
      </c>
      <c r="M110" s="27" t="str">
        <f>IF('E-Barrows'!A110&lt;'Adj-Barrows'!$B$10,'E-Barrows'!M110," ")</f>
        <v xml:space="preserve"> </v>
      </c>
      <c r="N110" s="29" t="str">
        <f>IF('E-Barrows'!A110&lt;'Adj-Barrows'!$B$10,1/L110," ")</f>
        <v xml:space="preserve"> </v>
      </c>
      <c r="O110" s="19"/>
      <c r="P110" s="30" t="str">
        <f t="shared" si="6"/>
        <v/>
      </c>
      <c r="Q110" s="30" t="str">
        <f t="shared" si="7"/>
        <v/>
      </c>
      <c r="R110" s="30" t="str">
        <f t="shared" si="8"/>
        <v/>
      </c>
    </row>
    <row r="111" spans="1:18" x14ac:dyDescent="0.25">
      <c r="A111" s="27" t="str">
        <f>IF('E-Barrows'!A111&lt;'Adj-Barrows'!$B$10,'E-Barrows'!B111," ")</f>
        <v xml:space="preserve"> </v>
      </c>
      <c r="B111" s="25" t="str">
        <f>IF('E-Barrows'!A111&lt;'Adj-Barrows'!$B$10,'E-Barrows'!A111," ")</f>
        <v xml:space="preserve"> </v>
      </c>
      <c r="C111" s="25" t="str">
        <f>IF('E-Barrows'!A111&lt;'Adj-Barrows'!$B$10,'E-Barrows'!C111," ")</f>
        <v xml:space="preserve"> </v>
      </c>
      <c r="D111" s="27" t="str">
        <f>IF('E-Barrows'!A111&lt;'Adj-Barrows'!$B$10,'E-Barrows'!G111," ")</f>
        <v xml:space="preserve"> </v>
      </c>
      <c r="E111" s="26" t="str">
        <f>IF('E-Barrows'!A111&lt;'Adj-Barrows'!$B$10,'E-Barrows'!D111," ")</f>
        <v xml:space="preserve"> </v>
      </c>
      <c r="F111" s="26"/>
      <c r="G111" s="216" t="str">
        <f t="shared" si="5"/>
        <v xml:space="preserve"> </v>
      </c>
      <c r="H111" s="27" t="str">
        <f>IF('E-Barrows'!A111&lt;'Adj-Barrows'!$B$10,'E-Barrows'!I111," ")</f>
        <v xml:space="preserve"> </v>
      </c>
      <c r="I111" s="217" t="str">
        <f>IF('E-Barrows'!A111&lt;'Adj-Barrows'!$B$10,'E-Barrows'!A111," ")</f>
        <v xml:space="preserve"> </v>
      </c>
      <c r="J111" s="25" t="str">
        <f>IF('E-Barrows'!A111&lt;'Adj-Barrows'!$B$10,'E-Barrows'!J111," ")</f>
        <v xml:space="preserve"> </v>
      </c>
      <c r="K111" s="27" t="str">
        <f>IF('E-Barrows'!A111&lt;'Adj-Barrows'!$B$10,'E-Barrows'!N111," ")</f>
        <v xml:space="preserve"> </v>
      </c>
      <c r="L111" s="26" t="str">
        <f>IF('E-Barrows'!A111&lt;'Adj-Barrows'!$B$10,'E-Barrows'!K111," ")</f>
        <v xml:space="preserve"> </v>
      </c>
      <c r="M111" s="27" t="str">
        <f>IF('E-Barrows'!A111&lt;'Adj-Barrows'!$B$10,'E-Barrows'!M111," ")</f>
        <v xml:space="preserve"> </v>
      </c>
      <c r="N111" s="29" t="str">
        <f>IF('E-Barrows'!A111&lt;'Adj-Barrows'!$B$10,1/L111," ")</f>
        <v xml:space="preserve"> </v>
      </c>
      <c r="O111" s="19"/>
      <c r="P111" s="30" t="str">
        <f t="shared" si="6"/>
        <v/>
      </c>
      <c r="Q111" s="30" t="str">
        <f t="shared" si="7"/>
        <v/>
      </c>
      <c r="R111" s="30" t="str">
        <f t="shared" si="8"/>
        <v/>
      </c>
    </row>
    <row r="112" spans="1:18" x14ac:dyDescent="0.25">
      <c r="A112" s="27" t="str">
        <f>IF('E-Barrows'!A112&lt;'Adj-Barrows'!$B$10,'E-Barrows'!B112," ")</f>
        <v xml:space="preserve"> </v>
      </c>
      <c r="B112" s="25" t="str">
        <f>IF('E-Barrows'!A112&lt;'Adj-Barrows'!$B$10,'E-Barrows'!A112," ")</f>
        <v xml:space="preserve"> </v>
      </c>
      <c r="C112" s="25" t="str">
        <f>IF('E-Barrows'!A112&lt;'Adj-Barrows'!$B$10,'E-Barrows'!C112," ")</f>
        <v xml:space="preserve"> </v>
      </c>
      <c r="D112" s="27" t="str">
        <f>IF('E-Barrows'!A112&lt;'Adj-Barrows'!$B$10,'E-Barrows'!G112," ")</f>
        <v xml:space="preserve"> </v>
      </c>
      <c r="E112" s="26" t="str">
        <f>IF('E-Barrows'!A112&lt;'Adj-Barrows'!$B$10,'E-Barrows'!D112," ")</f>
        <v xml:space="preserve"> </v>
      </c>
      <c r="F112" s="26"/>
      <c r="G112" s="216" t="str">
        <f t="shared" si="5"/>
        <v xml:space="preserve"> </v>
      </c>
      <c r="H112" s="27" t="str">
        <f>IF('E-Barrows'!A112&lt;'Adj-Barrows'!$B$10,'E-Barrows'!I112," ")</f>
        <v xml:space="preserve"> </v>
      </c>
      <c r="I112" s="217" t="str">
        <f>IF('E-Barrows'!A112&lt;'Adj-Barrows'!$B$10,'E-Barrows'!A112," ")</f>
        <v xml:space="preserve"> </v>
      </c>
      <c r="J112" s="25" t="str">
        <f>IF('E-Barrows'!A112&lt;'Adj-Barrows'!$B$10,'E-Barrows'!J112," ")</f>
        <v xml:space="preserve"> </v>
      </c>
      <c r="K112" s="27" t="str">
        <f>IF('E-Barrows'!A112&lt;'Adj-Barrows'!$B$10,'E-Barrows'!N112," ")</f>
        <v xml:space="preserve"> </v>
      </c>
      <c r="L112" s="26" t="str">
        <f>IF('E-Barrows'!A112&lt;'Adj-Barrows'!$B$10,'E-Barrows'!K112," ")</f>
        <v xml:space="preserve"> </v>
      </c>
      <c r="M112" s="27" t="str">
        <f>IF('E-Barrows'!A112&lt;'Adj-Barrows'!$B$10,'E-Barrows'!M112," ")</f>
        <v xml:space="preserve"> </v>
      </c>
      <c r="N112" s="29" t="str">
        <f>IF('E-Barrows'!A112&lt;'Adj-Barrows'!$B$10,1/L112," ")</f>
        <v xml:space="preserve"> </v>
      </c>
      <c r="O112" s="19"/>
      <c r="P112" s="30" t="str">
        <f t="shared" si="6"/>
        <v/>
      </c>
      <c r="Q112" s="30" t="str">
        <f t="shared" si="7"/>
        <v/>
      </c>
      <c r="R112" s="30" t="str">
        <f t="shared" si="8"/>
        <v/>
      </c>
    </row>
    <row r="113" spans="1:18" x14ac:dyDescent="0.25">
      <c r="A113" s="27" t="str">
        <f>IF('E-Barrows'!A113&lt;'Adj-Barrows'!$B$10,'E-Barrows'!B113," ")</f>
        <v xml:space="preserve"> </v>
      </c>
      <c r="B113" s="25" t="str">
        <f>IF('E-Barrows'!A113&lt;'Adj-Barrows'!$B$10,'E-Barrows'!A113," ")</f>
        <v xml:space="preserve"> </v>
      </c>
      <c r="C113" s="25" t="str">
        <f>IF('E-Barrows'!A113&lt;'Adj-Barrows'!$B$10,'E-Barrows'!C113," ")</f>
        <v xml:space="preserve"> </v>
      </c>
      <c r="D113" s="27" t="str">
        <f>IF('E-Barrows'!A113&lt;'Adj-Barrows'!$B$10,'E-Barrows'!G113," ")</f>
        <v xml:space="preserve"> </v>
      </c>
      <c r="E113" s="26" t="str">
        <f>IF('E-Barrows'!A113&lt;'Adj-Barrows'!$B$10,'E-Barrows'!D113," ")</f>
        <v xml:space="preserve"> </v>
      </c>
      <c r="F113" s="26"/>
      <c r="G113" s="216" t="str">
        <f t="shared" si="5"/>
        <v xml:space="preserve"> </v>
      </c>
      <c r="H113" s="27" t="str">
        <f>IF('E-Barrows'!A113&lt;'Adj-Barrows'!$B$10,'E-Barrows'!I113," ")</f>
        <v xml:space="preserve"> </v>
      </c>
      <c r="I113" s="217" t="str">
        <f>IF('E-Barrows'!A113&lt;'Adj-Barrows'!$B$10,'E-Barrows'!A113," ")</f>
        <v xml:space="preserve"> </v>
      </c>
      <c r="J113" s="25" t="str">
        <f>IF('E-Barrows'!A113&lt;'Adj-Barrows'!$B$10,'E-Barrows'!J113," ")</f>
        <v xml:space="preserve"> </v>
      </c>
      <c r="K113" s="27" t="str">
        <f>IF('E-Barrows'!A113&lt;'Adj-Barrows'!$B$10,'E-Barrows'!N113," ")</f>
        <v xml:space="preserve"> </v>
      </c>
      <c r="L113" s="26" t="str">
        <f>IF('E-Barrows'!A113&lt;'Adj-Barrows'!$B$10,'E-Barrows'!K113," ")</f>
        <v xml:space="preserve"> </v>
      </c>
      <c r="M113" s="27" t="str">
        <f>IF('E-Barrows'!A113&lt;'Adj-Barrows'!$B$10,'E-Barrows'!M113," ")</f>
        <v xml:space="preserve"> </v>
      </c>
      <c r="N113" s="29" t="str">
        <f>IF('E-Barrows'!A113&lt;'Adj-Barrows'!$B$10,1/L113," ")</f>
        <v xml:space="preserve"> </v>
      </c>
      <c r="O113" s="19"/>
      <c r="P113" s="30" t="str">
        <f t="shared" si="6"/>
        <v/>
      </c>
      <c r="Q113" s="30" t="str">
        <f t="shared" si="7"/>
        <v/>
      </c>
      <c r="R113" s="30" t="str">
        <f t="shared" si="8"/>
        <v/>
      </c>
    </row>
    <row r="114" spans="1:18" x14ac:dyDescent="0.25">
      <c r="A114" s="27" t="str">
        <f>IF('E-Barrows'!A114&lt;'Adj-Barrows'!$B$10,'E-Barrows'!B114," ")</f>
        <v xml:space="preserve"> </v>
      </c>
      <c r="B114" s="25" t="str">
        <f>IF('E-Barrows'!A114&lt;'Adj-Barrows'!$B$10,'E-Barrows'!A114," ")</f>
        <v xml:space="preserve"> </v>
      </c>
      <c r="C114" s="25" t="str">
        <f>IF('E-Barrows'!A114&lt;'Adj-Barrows'!$B$10,'E-Barrows'!C114," ")</f>
        <v xml:space="preserve"> </v>
      </c>
      <c r="D114" s="27" t="str">
        <f>IF('E-Barrows'!A114&lt;'Adj-Barrows'!$B$10,'E-Barrows'!G114," ")</f>
        <v xml:space="preserve"> </v>
      </c>
      <c r="E114" s="26" t="str">
        <f>IF('E-Barrows'!A114&lt;'Adj-Barrows'!$B$10,'E-Barrows'!D114," ")</f>
        <v xml:space="preserve"> </v>
      </c>
      <c r="F114" s="26"/>
      <c r="G114" s="216" t="str">
        <f t="shared" si="5"/>
        <v xml:space="preserve"> </v>
      </c>
      <c r="H114" s="27" t="str">
        <f>IF('E-Barrows'!A114&lt;'Adj-Barrows'!$B$10,'E-Barrows'!I114," ")</f>
        <v xml:space="preserve"> </v>
      </c>
      <c r="I114" s="217" t="str">
        <f>IF('E-Barrows'!A114&lt;'Adj-Barrows'!$B$10,'E-Barrows'!A114," ")</f>
        <v xml:space="preserve"> </v>
      </c>
      <c r="J114" s="25" t="str">
        <f>IF('E-Barrows'!A114&lt;'Adj-Barrows'!$B$10,'E-Barrows'!J114," ")</f>
        <v xml:space="preserve"> </v>
      </c>
      <c r="K114" s="27" t="str">
        <f>IF('E-Barrows'!A114&lt;'Adj-Barrows'!$B$10,'E-Barrows'!N114," ")</f>
        <v xml:space="preserve"> </v>
      </c>
      <c r="L114" s="26" t="str">
        <f>IF('E-Barrows'!A114&lt;'Adj-Barrows'!$B$10,'E-Barrows'!K114," ")</f>
        <v xml:space="preserve"> </v>
      </c>
      <c r="M114" s="27" t="str">
        <f>IF('E-Barrows'!A114&lt;'Adj-Barrows'!$B$10,'E-Barrows'!M114," ")</f>
        <v xml:space="preserve"> </v>
      </c>
      <c r="N114" s="29" t="str">
        <f>IF('E-Barrows'!A114&lt;'Adj-Barrows'!$B$10,1/L114," ")</f>
        <v xml:space="preserve"> </v>
      </c>
      <c r="O114" s="19"/>
      <c r="P114" s="30" t="str">
        <f t="shared" si="6"/>
        <v/>
      </c>
      <c r="Q114" s="30" t="str">
        <f t="shared" si="7"/>
        <v/>
      </c>
      <c r="R114" s="30" t="str">
        <f t="shared" si="8"/>
        <v/>
      </c>
    </row>
    <row r="115" spans="1:18" x14ac:dyDescent="0.25">
      <c r="A115" s="27" t="str">
        <f>IF('E-Barrows'!A115&lt;'Adj-Barrows'!$B$10,'E-Barrows'!B115," ")</f>
        <v xml:space="preserve"> </v>
      </c>
      <c r="B115" s="25" t="str">
        <f>IF('E-Barrows'!A115&lt;'Adj-Barrows'!$B$10,'E-Barrows'!A115," ")</f>
        <v xml:space="preserve"> </v>
      </c>
      <c r="C115" s="25" t="str">
        <f>IF('E-Barrows'!A115&lt;'Adj-Barrows'!$B$10,'E-Barrows'!C115," ")</f>
        <v xml:space="preserve"> </v>
      </c>
      <c r="D115" s="27" t="str">
        <f>IF('E-Barrows'!A115&lt;'Adj-Barrows'!$B$10,'E-Barrows'!G115," ")</f>
        <v xml:space="preserve"> </v>
      </c>
      <c r="E115" s="26" t="str">
        <f>IF('E-Barrows'!A115&lt;'Adj-Barrows'!$B$10,'E-Barrows'!D115," ")</f>
        <v xml:space="preserve"> </v>
      </c>
      <c r="F115" s="26"/>
      <c r="G115" s="216" t="str">
        <f t="shared" si="5"/>
        <v xml:space="preserve"> </v>
      </c>
      <c r="H115" s="27" t="str">
        <f>IF('E-Barrows'!A115&lt;'Adj-Barrows'!$B$10,'E-Barrows'!I115," ")</f>
        <v xml:space="preserve"> </v>
      </c>
      <c r="I115" s="217" t="str">
        <f>IF('E-Barrows'!A115&lt;'Adj-Barrows'!$B$10,'E-Barrows'!A115," ")</f>
        <v xml:space="preserve"> </v>
      </c>
      <c r="J115" s="25" t="str">
        <f>IF('E-Barrows'!A115&lt;'Adj-Barrows'!$B$10,'E-Barrows'!J115," ")</f>
        <v xml:space="preserve"> </v>
      </c>
      <c r="K115" s="27" t="str">
        <f>IF('E-Barrows'!A115&lt;'Adj-Barrows'!$B$10,'E-Barrows'!N115," ")</f>
        <v xml:space="preserve"> </v>
      </c>
      <c r="L115" s="26" t="str">
        <f>IF('E-Barrows'!A115&lt;'Adj-Barrows'!$B$10,'E-Barrows'!K115," ")</f>
        <v xml:space="preserve"> </v>
      </c>
      <c r="M115" s="27" t="str">
        <f>IF('E-Barrows'!A115&lt;'Adj-Barrows'!$B$10,'E-Barrows'!M115," ")</f>
        <v xml:space="preserve"> </v>
      </c>
      <c r="N115" s="29" t="str">
        <f>IF('E-Barrows'!A115&lt;'Adj-Barrows'!$B$10,1/L115," ")</f>
        <v xml:space="preserve"> </v>
      </c>
      <c r="O115" s="19"/>
      <c r="P115" s="30" t="str">
        <f t="shared" si="6"/>
        <v/>
      </c>
      <c r="Q115" s="30" t="str">
        <f t="shared" si="7"/>
        <v/>
      </c>
      <c r="R115" s="30" t="str">
        <f t="shared" si="8"/>
        <v/>
      </c>
    </row>
    <row r="116" spans="1:18" x14ac:dyDescent="0.25">
      <c r="A116" s="27" t="str">
        <f>IF('E-Barrows'!A116&lt;'Adj-Barrows'!$B$10,'E-Barrows'!B116," ")</f>
        <v xml:space="preserve"> </v>
      </c>
      <c r="B116" s="25" t="str">
        <f>IF('E-Barrows'!A116&lt;'Adj-Barrows'!$B$10,'E-Barrows'!A116," ")</f>
        <v xml:space="preserve"> </v>
      </c>
      <c r="C116" s="25" t="str">
        <f>IF('E-Barrows'!A116&lt;'Adj-Barrows'!$B$10,'E-Barrows'!C116," ")</f>
        <v xml:space="preserve"> </v>
      </c>
      <c r="D116" s="27" t="str">
        <f>IF('E-Barrows'!A116&lt;'Adj-Barrows'!$B$10,'E-Barrows'!G116," ")</f>
        <v xml:space="preserve"> </v>
      </c>
      <c r="E116" s="26" t="str">
        <f>IF('E-Barrows'!A116&lt;'Adj-Barrows'!$B$10,'E-Barrows'!D116," ")</f>
        <v xml:space="preserve"> </v>
      </c>
      <c r="F116" s="26"/>
      <c r="G116" s="216" t="str">
        <f t="shared" si="5"/>
        <v xml:space="preserve"> </v>
      </c>
      <c r="H116" s="27" t="str">
        <f>IF('E-Barrows'!A116&lt;'Adj-Barrows'!$B$10,'E-Barrows'!I116," ")</f>
        <v xml:space="preserve"> </v>
      </c>
      <c r="I116" s="217" t="str">
        <f>IF('E-Barrows'!A116&lt;'Adj-Barrows'!$B$10,'E-Barrows'!A116," ")</f>
        <v xml:space="preserve"> </v>
      </c>
      <c r="J116" s="25" t="str">
        <f>IF('E-Barrows'!A116&lt;'Adj-Barrows'!$B$10,'E-Barrows'!J116," ")</f>
        <v xml:space="preserve"> </v>
      </c>
      <c r="K116" s="27" t="str">
        <f>IF('E-Barrows'!A116&lt;'Adj-Barrows'!$B$10,'E-Barrows'!N116," ")</f>
        <v xml:space="preserve"> </v>
      </c>
      <c r="L116" s="26" t="str">
        <f>IF('E-Barrows'!A116&lt;'Adj-Barrows'!$B$10,'E-Barrows'!K116," ")</f>
        <v xml:space="preserve"> </v>
      </c>
      <c r="M116" s="27" t="str">
        <f>IF('E-Barrows'!A116&lt;'Adj-Barrows'!$B$10,'E-Barrows'!M116," ")</f>
        <v xml:space="preserve"> </v>
      </c>
      <c r="N116" s="29" t="str">
        <f>IF('E-Barrows'!A116&lt;'Adj-Barrows'!$B$10,1/L116," ")</f>
        <v xml:space="preserve"> </v>
      </c>
      <c r="O116" s="19"/>
      <c r="P116" s="30" t="str">
        <f t="shared" si="6"/>
        <v/>
      </c>
      <c r="Q116" s="30" t="str">
        <f t="shared" si="7"/>
        <v/>
      </c>
      <c r="R116" s="30" t="str">
        <f t="shared" si="8"/>
        <v/>
      </c>
    </row>
    <row r="117" spans="1:18" x14ac:dyDescent="0.25">
      <c r="A117" s="27" t="str">
        <f>IF('E-Barrows'!A117&lt;'Adj-Barrows'!$B$10,'E-Barrows'!B117," ")</f>
        <v xml:space="preserve"> </v>
      </c>
      <c r="B117" s="25" t="str">
        <f>IF('E-Barrows'!A117&lt;'Adj-Barrows'!$B$10,'E-Barrows'!A117," ")</f>
        <v xml:space="preserve"> </v>
      </c>
      <c r="C117" s="25" t="str">
        <f>IF('E-Barrows'!A117&lt;'Adj-Barrows'!$B$10,'E-Barrows'!C117," ")</f>
        <v xml:space="preserve"> </v>
      </c>
      <c r="D117" s="27" t="str">
        <f>IF('E-Barrows'!A117&lt;'Adj-Barrows'!$B$10,'E-Barrows'!G117," ")</f>
        <v xml:space="preserve"> </v>
      </c>
      <c r="E117" s="26" t="str">
        <f>IF('E-Barrows'!A117&lt;'Adj-Barrows'!$B$10,'E-Barrows'!D117," ")</f>
        <v xml:space="preserve"> </v>
      </c>
      <c r="F117" s="26"/>
      <c r="G117" s="216" t="str">
        <f t="shared" si="5"/>
        <v xml:space="preserve"> </v>
      </c>
      <c r="H117" s="27" t="str">
        <f>IF('E-Barrows'!A117&lt;'Adj-Barrows'!$B$10,'E-Barrows'!I117," ")</f>
        <v xml:space="preserve"> </v>
      </c>
      <c r="I117" s="217" t="str">
        <f>IF('E-Barrows'!A117&lt;'Adj-Barrows'!$B$10,'E-Barrows'!A117," ")</f>
        <v xml:space="preserve"> </v>
      </c>
      <c r="J117" s="25" t="str">
        <f>IF('E-Barrows'!A117&lt;'Adj-Barrows'!$B$10,'E-Barrows'!J117," ")</f>
        <v xml:space="preserve"> </v>
      </c>
      <c r="K117" s="27" t="str">
        <f>IF('E-Barrows'!A117&lt;'Adj-Barrows'!$B$10,'E-Barrows'!N117," ")</f>
        <v xml:space="preserve"> </v>
      </c>
      <c r="L117" s="26" t="str">
        <f>IF('E-Barrows'!A117&lt;'Adj-Barrows'!$B$10,'E-Barrows'!K117," ")</f>
        <v xml:space="preserve"> </v>
      </c>
      <c r="M117" s="27" t="str">
        <f>IF('E-Barrows'!A117&lt;'Adj-Barrows'!$B$10,'E-Barrows'!M117," ")</f>
        <v xml:space="preserve"> </v>
      </c>
      <c r="N117" s="29" t="str">
        <f>IF('E-Barrows'!A117&lt;'Adj-Barrows'!$B$10,1/L117," ")</f>
        <v xml:space="preserve"> </v>
      </c>
      <c r="O117" s="19"/>
      <c r="P117" s="30" t="str">
        <f t="shared" si="6"/>
        <v/>
      </c>
      <c r="Q117" s="30" t="str">
        <f t="shared" si="7"/>
        <v/>
      </c>
      <c r="R117" s="30" t="str">
        <f t="shared" si="8"/>
        <v/>
      </c>
    </row>
    <row r="118" spans="1:18" x14ac:dyDescent="0.25">
      <c r="A118" s="27" t="str">
        <f>IF('E-Barrows'!A118&lt;'Adj-Barrows'!$B$10,'E-Barrows'!B118," ")</f>
        <v xml:space="preserve"> </v>
      </c>
      <c r="B118" s="25" t="str">
        <f>IF('E-Barrows'!A118&lt;'Adj-Barrows'!$B$10,'E-Barrows'!A118," ")</f>
        <v xml:space="preserve"> </v>
      </c>
      <c r="C118" s="25" t="str">
        <f>IF('E-Barrows'!A118&lt;'Adj-Barrows'!$B$10,'E-Barrows'!C118," ")</f>
        <v xml:space="preserve"> </v>
      </c>
      <c r="D118" s="27" t="str">
        <f>IF('E-Barrows'!A118&lt;'Adj-Barrows'!$B$10,'E-Barrows'!G118," ")</f>
        <v xml:space="preserve"> </v>
      </c>
      <c r="E118" s="26" t="str">
        <f>IF('E-Barrows'!A118&lt;'Adj-Barrows'!$B$10,'E-Barrows'!D118," ")</f>
        <v xml:space="preserve"> </v>
      </c>
      <c r="F118" s="26"/>
      <c r="G118" s="216" t="str">
        <f t="shared" si="5"/>
        <v xml:space="preserve"> </v>
      </c>
      <c r="H118" s="27" t="str">
        <f>IF('E-Barrows'!A118&lt;'Adj-Barrows'!$B$10,'E-Barrows'!I118," ")</f>
        <v xml:space="preserve"> </v>
      </c>
      <c r="I118" s="217" t="str">
        <f>IF('E-Barrows'!A118&lt;'Adj-Barrows'!$B$10,'E-Barrows'!A118," ")</f>
        <v xml:space="preserve"> </v>
      </c>
      <c r="J118" s="25" t="str">
        <f>IF('E-Barrows'!A118&lt;'Adj-Barrows'!$B$10,'E-Barrows'!J118," ")</f>
        <v xml:space="preserve"> </v>
      </c>
      <c r="K118" s="27" t="str">
        <f>IF('E-Barrows'!A118&lt;'Adj-Barrows'!$B$10,'E-Barrows'!N118," ")</f>
        <v xml:space="preserve"> </v>
      </c>
      <c r="L118" s="26" t="str">
        <f>IF('E-Barrows'!A118&lt;'Adj-Barrows'!$B$10,'E-Barrows'!K118," ")</f>
        <v xml:space="preserve"> </v>
      </c>
      <c r="M118" s="27" t="str">
        <f>IF('E-Barrows'!A118&lt;'Adj-Barrows'!$B$10,'E-Barrows'!M118," ")</f>
        <v xml:space="preserve"> </v>
      </c>
      <c r="N118" s="29" t="str">
        <f>IF('E-Barrows'!A118&lt;'Adj-Barrows'!$B$10,1/L118," ")</f>
        <v xml:space="preserve"> </v>
      </c>
      <c r="O118" s="19"/>
      <c r="P118" s="30" t="str">
        <f t="shared" si="6"/>
        <v/>
      </c>
      <c r="Q118" s="30" t="str">
        <f t="shared" si="7"/>
        <v/>
      </c>
      <c r="R118" s="30" t="str">
        <f t="shared" si="8"/>
        <v/>
      </c>
    </row>
    <row r="119" spans="1:18" x14ac:dyDescent="0.25">
      <c r="A119" s="27" t="str">
        <f>IF('E-Barrows'!A119&lt;'Adj-Barrows'!$B$10,'E-Barrows'!B119," ")</f>
        <v xml:space="preserve"> </v>
      </c>
      <c r="B119" s="25" t="str">
        <f>IF('E-Barrows'!A119&lt;'Adj-Barrows'!$B$10,'E-Barrows'!A119," ")</f>
        <v xml:space="preserve"> </v>
      </c>
      <c r="C119" s="25" t="str">
        <f>IF('E-Barrows'!A119&lt;'Adj-Barrows'!$B$10,'E-Barrows'!C119," ")</f>
        <v xml:space="preserve"> </v>
      </c>
      <c r="D119" s="27" t="str">
        <f>IF('E-Barrows'!A119&lt;'Adj-Barrows'!$B$10,'E-Barrows'!G119," ")</f>
        <v xml:space="preserve"> </v>
      </c>
      <c r="E119" s="26" t="str">
        <f>IF('E-Barrows'!A119&lt;'Adj-Barrows'!$B$10,'E-Barrows'!D119," ")</f>
        <v xml:space="preserve"> </v>
      </c>
      <c r="F119" s="26"/>
      <c r="G119" s="216" t="str">
        <f t="shared" si="5"/>
        <v xml:space="preserve"> </v>
      </c>
      <c r="H119" s="27" t="str">
        <f>IF('E-Barrows'!A119&lt;'Adj-Barrows'!$B$10,'E-Barrows'!I119," ")</f>
        <v xml:space="preserve"> </v>
      </c>
      <c r="I119" s="217" t="str">
        <f>IF('E-Barrows'!A119&lt;'Adj-Barrows'!$B$10,'E-Barrows'!A119," ")</f>
        <v xml:space="preserve"> </v>
      </c>
      <c r="J119" s="25" t="str">
        <f>IF('E-Barrows'!A119&lt;'Adj-Barrows'!$B$10,'E-Barrows'!J119," ")</f>
        <v xml:space="preserve"> </v>
      </c>
      <c r="K119" s="27" t="str">
        <f>IF('E-Barrows'!A119&lt;'Adj-Barrows'!$B$10,'E-Barrows'!N119," ")</f>
        <v xml:space="preserve"> </v>
      </c>
      <c r="L119" s="26" t="str">
        <f>IF('E-Barrows'!A119&lt;'Adj-Barrows'!$B$10,'E-Barrows'!K119," ")</f>
        <v xml:space="preserve"> </v>
      </c>
      <c r="M119" s="27" t="str">
        <f>IF('E-Barrows'!A119&lt;'Adj-Barrows'!$B$10,'E-Barrows'!M119," ")</f>
        <v xml:space="preserve"> </v>
      </c>
      <c r="N119" s="29" t="str">
        <f>IF('E-Barrows'!A119&lt;'Adj-Barrows'!$B$10,1/L119," ")</f>
        <v xml:space="preserve"> </v>
      </c>
      <c r="O119" s="19"/>
      <c r="P119" s="30" t="str">
        <f t="shared" si="6"/>
        <v/>
      </c>
      <c r="Q119" s="30" t="str">
        <f t="shared" si="7"/>
        <v/>
      </c>
      <c r="R119" s="30" t="str">
        <f t="shared" si="8"/>
        <v/>
      </c>
    </row>
    <row r="120" spans="1:18" x14ac:dyDescent="0.25">
      <c r="A120" s="27" t="str">
        <f>IF('E-Barrows'!A120&lt;'Adj-Barrows'!$B$10,'E-Barrows'!B120," ")</f>
        <v xml:space="preserve"> </v>
      </c>
      <c r="B120" s="25" t="str">
        <f>IF('E-Barrows'!A120&lt;'Adj-Barrows'!$B$10,'E-Barrows'!A120," ")</f>
        <v xml:space="preserve"> </v>
      </c>
      <c r="C120" s="25" t="str">
        <f>IF('E-Barrows'!A120&lt;'Adj-Barrows'!$B$10,'E-Barrows'!C120," ")</f>
        <v xml:space="preserve"> </v>
      </c>
      <c r="D120" s="27" t="str">
        <f>IF('E-Barrows'!A120&lt;'Adj-Barrows'!$B$10,'E-Barrows'!G120," ")</f>
        <v xml:space="preserve"> </v>
      </c>
      <c r="E120" s="26" t="str">
        <f>IF('E-Barrows'!A120&lt;'Adj-Barrows'!$B$10,'E-Barrows'!D120," ")</f>
        <v xml:space="preserve"> </v>
      </c>
      <c r="F120" s="26"/>
      <c r="G120" s="216" t="str">
        <f t="shared" si="5"/>
        <v xml:space="preserve"> </v>
      </c>
      <c r="H120" s="27" t="str">
        <f>IF('E-Barrows'!A120&lt;'Adj-Barrows'!$B$10,'E-Barrows'!I120," ")</f>
        <v xml:space="preserve"> </v>
      </c>
      <c r="I120" s="217" t="str">
        <f>IF('E-Barrows'!A120&lt;'Adj-Barrows'!$B$10,'E-Barrows'!A120," ")</f>
        <v xml:space="preserve"> </v>
      </c>
      <c r="J120" s="25" t="str">
        <f>IF('E-Barrows'!A120&lt;'Adj-Barrows'!$B$10,'E-Barrows'!J120," ")</f>
        <v xml:space="preserve"> </v>
      </c>
      <c r="K120" s="27" t="str">
        <f>IF('E-Barrows'!A120&lt;'Adj-Barrows'!$B$10,'E-Barrows'!N120," ")</f>
        <v xml:space="preserve"> </v>
      </c>
      <c r="L120" s="26" t="str">
        <f>IF('E-Barrows'!A120&lt;'Adj-Barrows'!$B$10,'E-Barrows'!K120," ")</f>
        <v xml:space="preserve"> </v>
      </c>
      <c r="M120" s="27" t="str">
        <f>IF('E-Barrows'!A120&lt;'Adj-Barrows'!$B$10,'E-Barrows'!M120," ")</f>
        <v xml:space="preserve"> </v>
      </c>
      <c r="N120" s="29" t="str">
        <f>IF('E-Barrows'!A120&lt;'Adj-Barrows'!$B$10,1/L120," ")</f>
        <v xml:space="preserve"> </v>
      </c>
      <c r="P120" s="30" t="str">
        <f t="shared" si="6"/>
        <v/>
      </c>
      <c r="Q120" s="30" t="str">
        <f t="shared" si="7"/>
        <v/>
      </c>
      <c r="R120" s="30" t="str">
        <f t="shared" si="8"/>
        <v/>
      </c>
    </row>
    <row r="121" spans="1:18" x14ac:dyDescent="0.25">
      <c r="A121" s="27" t="str">
        <f>IF('E-Barrows'!A121&lt;'Adj-Barrows'!$B$10,'E-Barrows'!B121," ")</f>
        <v xml:space="preserve"> </v>
      </c>
      <c r="B121" s="25" t="str">
        <f>IF('E-Barrows'!A121&lt;'Adj-Barrows'!$B$10,'E-Barrows'!A121," ")</f>
        <v xml:space="preserve"> </v>
      </c>
      <c r="C121" s="25" t="str">
        <f>IF('E-Barrows'!A121&lt;'Adj-Barrows'!$B$10,'E-Barrows'!C121," ")</f>
        <v xml:space="preserve"> </v>
      </c>
      <c r="D121" s="27" t="str">
        <f>IF('E-Barrows'!A121&lt;'Adj-Barrows'!$B$10,'E-Barrows'!G121," ")</f>
        <v xml:space="preserve"> </v>
      </c>
      <c r="E121" s="26" t="str">
        <f>IF('E-Barrows'!A121&lt;'Adj-Barrows'!$B$10,'E-Barrows'!D121," ")</f>
        <v xml:space="preserve"> </v>
      </c>
      <c r="F121" s="26"/>
      <c r="G121" s="216" t="str">
        <f t="shared" si="5"/>
        <v xml:space="preserve"> </v>
      </c>
      <c r="H121" s="27" t="str">
        <f>IF('E-Barrows'!A121&lt;'Adj-Barrows'!$B$10,'E-Barrows'!I121," ")</f>
        <v xml:space="preserve"> </v>
      </c>
      <c r="I121" s="217" t="str">
        <f>IF('E-Barrows'!A121&lt;'Adj-Barrows'!$B$10,'E-Barrows'!A121," ")</f>
        <v xml:space="preserve"> </v>
      </c>
      <c r="J121" s="25" t="str">
        <f>IF('E-Barrows'!A121&lt;'Adj-Barrows'!$B$10,'E-Barrows'!J121," ")</f>
        <v xml:space="preserve"> </v>
      </c>
      <c r="K121" s="27" t="str">
        <f>IF('E-Barrows'!A121&lt;'Adj-Barrows'!$B$10,'E-Barrows'!N121," ")</f>
        <v xml:space="preserve"> </v>
      </c>
      <c r="L121" s="26" t="str">
        <f>IF('E-Barrows'!A121&lt;'Adj-Barrows'!$B$10,'E-Barrows'!K121," ")</f>
        <v xml:space="preserve"> </v>
      </c>
      <c r="M121" s="27" t="str">
        <f>IF('E-Barrows'!A121&lt;'Adj-Barrows'!$B$10,'E-Barrows'!M121," ")</f>
        <v xml:space="preserve"> </v>
      </c>
      <c r="N121" s="29" t="str">
        <f>IF('E-Barrows'!A121&lt;'Adj-Barrows'!$B$10,1/L121," ")</f>
        <v xml:space="preserve"> </v>
      </c>
      <c r="P121" s="30" t="str">
        <f t="shared" si="6"/>
        <v/>
      </c>
      <c r="Q121" s="30" t="str">
        <f t="shared" si="7"/>
        <v/>
      </c>
      <c r="R121" s="30" t="str">
        <f t="shared" si="8"/>
        <v/>
      </c>
    </row>
    <row r="122" spans="1:18" x14ac:dyDescent="0.25">
      <c r="A122" s="27" t="str">
        <f>IF('E-Barrows'!A122&lt;'Adj-Barrows'!$B$10,'E-Barrows'!B122," ")</f>
        <v xml:space="preserve"> </v>
      </c>
      <c r="B122" s="25" t="str">
        <f>IF('E-Barrows'!A122&lt;'Adj-Barrows'!$B$10,'E-Barrows'!A122," ")</f>
        <v xml:space="preserve"> </v>
      </c>
      <c r="C122" s="25" t="str">
        <f>IF('E-Barrows'!A122&lt;'Adj-Barrows'!$B$10,'E-Barrows'!C122," ")</f>
        <v xml:space="preserve"> </v>
      </c>
      <c r="D122" s="27" t="str">
        <f>IF('E-Barrows'!A122&lt;'Adj-Barrows'!$B$10,'E-Barrows'!G122," ")</f>
        <v xml:space="preserve"> </v>
      </c>
      <c r="E122" s="26" t="str">
        <f>IF('E-Barrows'!A122&lt;'Adj-Barrows'!$B$10,'E-Barrows'!D122," ")</f>
        <v xml:space="preserve"> </v>
      </c>
      <c r="F122" s="26"/>
      <c r="G122" s="216" t="str">
        <f t="shared" si="5"/>
        <v xml:space="preserve"> </v>
      </c>
      <c r="H122" s="27" t="str">
        <f>IF('E-Barrows'!A122&lt;'Adj-Barrows'!$B$10,'E-Barrows'!I122," ")</f>
        <v xml:space="preserve"> </v>
      </c>
      <c r="I122" s="217" t="str">
        <f>IF('E-Barrows'!A122&lt;'Adj-Barrows'!$B$10,'E-Barrows'!A122," ")</f>
        <v xml:space="preserve"> </v>
      </c>
      <c r="J122" s="25" t="str">
        <f>IF('E-Barrows'!A122&lt;'Adj-Barrows'!$B$10,'E-Barrows'!J122," ")</f>
        <v xml:space="preserve"> </v>
      </c>
      <c r="K122" s="27" t="str">
        <f>IF('E-Barrows'!A122&lt;'Adj-Barrows'!$B$10,'E-Barrows'!N122," ")</f>
        <v xml:space="preserve"> </v>
      </c>
      <c r="L122" s="26" t="str">
        <f>IF('E-Barrows'!A122&lt;'Adj-Barrows'!$B$10,'E-Barrows'!K122," ")</f>
        <v xml:space="preserve"> </v>
      </c>
      <c r="M122" s="27" t="str">
        <f>IF('E-Barrows'!A122&lt;'Adj-Barrows'!$B$10,'E-Barrows'!M122," ")</f>
        <v xml:space="preserve"> </v>
      </c>
      <c r="N122" s="29" t="str">
        <f>IF('E-Barrows'!A122&lt;'Adj-Barrows'!$B$10,1/L122," ")</f>
        <v xml:space="preserve"> </v>
      </c>
      <c r="P122" s="30" t="str">
        <f t="shared" si="6"/>
        <v/>
      </c>
      <c r="Q122" s="30" t="str">
        <f t="shared" si="7"/>
        <v/>
      </c>
      <c r="R122" s="30" t="str">
        <f t="shared" si="8"/>
        <v/>
      </c>
    </row>
    <row r="123" spans="1:18" x14ac:dyDescent="0.25">
      <c r="A123" s="27" t="str">
        <f>IF('E-Barrows'!A123&lt;'Adj-Barrows'!$B$10,'E-Barrows'!B123," ")</f>
        <v xml:space="preserve"> </v>
      </c>
      <c r="B123" s="25" t="str">
        <f>IF('E-Barrows'!A123&lt;'Adj-Barrows'!$B$10,'E-Barrows'!A123," ")</f>
        <v xml:space="preserve"> </v>
      </c>
      <c r="C123" s="25" t="str">
        <f>IF('E-Barrows'!A123&lt;'Adj-Barrows'!$B$10,'E-Barrows'!C123," ")</f>
        <v xml:space="preserve"> </v>
      </c>
      <c r="D123" s="27" t="str">
        <f>IF('E-Barrows'!A123&lt;'Adj-Barrows'!$B$10,'E-Barrows'!G123," ")</f>
        <v xml:space="preserve"> </v>
      </c>
      <c r="E123" s="26" t="str">
        <f>IF('E-Barrows'!A123&lt;'Adj-Barrows'!$B$10,'E-Barrows'!D123," ")</f>
        <v xml:space="preserve"> </v>
      </c>
      <c r="F123" s="26"/>
      <c r="G123" s="216" t="str">
        <f t="shared" si="5"/>
        <v xml:space="preserve"> </v>
      </c>
      <c r="H123" s="27" t="str">
        <f>IF('E-Barrows'!A123&lt;'Adj-Barrows'!$B$10,'E-Barrows'!I123," ")</f>
        <v xml:space="preserve"> </v>
      </c>
      <c r="I123" s="217" t="str">
        <f>IF('E-Barrows'!A123&lt;'Adj-Barrows'!$B$10,'E-Barrows'!A123," ")</f>
        <v xml:space="preserve"> </v>
      </c>
      <c r="J123" s="25" t="str">
        <f>IF('E-Barrows'!A123&lt;'Adj-Barrows'!$B$10,'E-Barrows'!J123," ")</f>
        <v xml:space="preserve"> </v>
      </c>
      <c r="K123" s="27" t="str">
        <f>IF('E-Barrows'!A123&lt;'Adj-Barrows'!$B$10,'E-Barrows'!N123," ")</f>
        <v xml:space="preserve"> </v>
      </c>
      <c r="L123" s="26" t="str">
        <f>IF('E-Barrows'!A123&lt;'Adj-Barrows'!$B$10,'E-Barrows'!K123," ")</f>
        <v xml:space="preserve"> </v>
      </c>
      <c r="M123" s="27" t="str">
        <f>IF('E-Barrows'!A123&lt;'Adj-Barrows'!$B$10,'E-Barrows'!M123," ")</f>
        <v xml:space="preserve"> </v>
      </c>
      <c r="N123" s="29" t="str">
        <f>IF('E-Barrows'!A123&lt;'Adj-Barrows'!$B$10,1/L123," ")</f>
        <v xml:space="preserve"> </v>
      </c>
      <c r="P123" s="30" t="str">
        <f t="shared" si="6"/>
        <v/>
      </c>
      <c r="Q123" s="30" t="str">
        <f t="shared" si="7"/>
        <v/>
      </c>
      <c r="R123" s="30" t="str">
        <f t="shared" si="8"/>
        <v/>
      </c>
    </row>
    <row r="124" spans="1:18" x14ac:dyDescent="0.25">
      <c r="A124" s="27" t="str">
        <f>IF('E-Barrows'!A124&lt;'Adj-Barrows'!$B$10,'E-Barrows'!B124," ")</f>
        <v xml:space="preserve"> </v>
      </c>
      <c r="B124" s="25" t="str">
        <f>IF('E-Barrows'!A124&lt;'Adj-Barrows'!$B$10,'E-Barrows'!A124," ")</f>
        <v xml:space="preserve"> </v>
      </c>
      <c r="C124" s="25" t="str">
        <f>IF('E-Barrows'!A124&lt;'Adj-Barrows'!$B$10,'E-Barrows'!C124," ")</f>
        <v xml:space="preserve"> </v>
      </c>
      <c r="D124" s="27" t="str">
        <f>IF('E-Barrows'!A124&lt;'Adj-Barrows'!$B$10,'E-Barrows'!G124," ")</f>
        <v xml:space="preserve"> </v>
      </c>
      <c r="E124" s="26" t="str">
        <f>IF('E-Barrows'!A124&lt;'Adj-Barrows'!$B$10,'E-Barrows'!D124," ")</f>
        <v xml:space="preserve"> </v>
      </c>
      <c r="F124" s="26"/>
      <c r="G124" s="216" t="str">
        <f t="shared" si="5"/>
        <v xml:space="preserve"> </v>
      </c>
      <c r="H124" s="27" t="str">
        <f>IF('E-Barrows'!A124&lt;'Adj-Barrows'!$B$10,'E-Barrows'!I124," ")</f>
        <v xml:space="preserve"> </v>
      </c>
      <c r="I124" s="217" t="str">
        <f>IF('E-Barrows'!A124&lt;'Adj-Barrows'!$B$10,'E-Barrows'!A124," ")</f>
        <v xml:space="preserve"> </v>
      </c>
      <c r="J124" s="25" t="str">
        <f>IF('E-Barrows'!A124&lt;'Adj-Barrows'!$B$10,'E-Barrows'!J124," ")</f>
        <v xml:space="preserve"> </v>
      </c>
      <c r="K124" s="27" t="str">
        <f>IF('E-Barrows'!A124&lt;'Adj-Barrows'!$B$10,'E-Barrows'!N124," ")</f>
        <v xml:space="preserve"> </v>
      </c>
      <c r="L124" s="26" t="str">
        <f>IF('E-Barrows'!A124&lt;'Adj-Barrows'!$B$10,'E-Barrows'!K124," ")</f>
        <v xml:space="preserve"> </v>
      </c>
      <c r="M124" s="27" t="str">
        <f>IF('E-Barrows'!A124&lt;'Adj-Barrows'!$B$10,'E-Barrows'!M124," ")</f>
        <v xml:space="preserve"> </v>
      </c>
      <c r="N124" s="29" t="str">
        <f>IF('E-Barrows'!A124&lt;'Adj-Barrows'!$B$10,1/L124," ")</f>
        <v xml:space="preserve"> </v>
      </c>
      <c r="P124" s="30" t="str">
        <f t="shared" si="6"/>
        <v/>
      </c>
      <c r="Q124" s="30" t="str">
        <f t="shared" si="7"/>
        <v/>
      </c>
      <c r="R124" s="30" t="str">
        <f t="shared" si="8"/>
        <v/>
      </c>
    </row>
    <row r="125" spans="1:18" x14ac:dyDescent="0.25">
      <c r="A125" s="27" t="str">
        <f>IF('E-Barrows'!A125&lt;'Adj-Barrows'!$B$10,'E-Barrows'!B125," ")</f>
        <v xml:space="preserve"> </v>
      </c>
      <c r="B125" s="25" t="str">
        <f>IF('E-Barrows'!A125&lt;'Adj-Barrows'!$B$10,'E-Barrows'!A125," ")</f>
        <v xml:space="preserve"> </v>
      </c>
      <c r="C125" s="25" t="str">
        <f>IF('E-Barrows'!A125&lt;'Adj-Barrows'!$B$10,'E-Barrows'!C125," ")</f>
        <v xml:space="preserve"> </v>
      </c>
      <c r="D125" s="27" t="str">
        <f>IF('E-Barrows'!A125&lt;'Adj-Barrows'!$B$10,'E-Barrows'!G125," ")</f>
        <v xml:space="preserve"> </v>
      </c>
      <c r="E125" s="26" t="str">
        <f>IF('E-Barrows'!A125&lt;'Adj-Barrows'!$B$10,'E-Barrows'!D125," ")</f>
        <v xml:space="preserve"> </v>
      </c>
      <c r="F125" s="26"/>
      <c r="G125" s="216" t="str">
        <f t="shared" si="5"/>
        <v xml:space="preserve"> </v>
      </c>
      <c r="H125" s="27" t="str">
        <f>IF('E-Barrows'!A125&lt;'Adj-Barrows'!$B$10,'E-Barrows'!I125," ")</f>
        <v xml:space="preserve"> </v>
      </c>
      <c r="I125" s="217" t="str">
        <f>IF('E-Barrows'!A125&lt;'Adj-Barrows'!$B$10,'E-Barrows'!A125," ")</f>
        <v xml:space="preserve"> </v>
      </c>
      <c r="J125" s="25" t="str">
        <f>IF('E-Barrows'!A125&lt;'Adj-Barrows'!$B$10,'E-Barrows'!J125," ")</f>
        <v xml:space="preserve"> </v>
      </c>
      <c r="K125" s="27" t="str">
        <f>IF('E-Barrows'!A125&lt;'Adj-Barrows'!$B$10,'E-Barrows'!N125," ")</f>
        <v xml:space="preserve"> </v>
      </c>
      <c r="L125" s="26" t="str">
        <f>IF('E-Barrows'!A125&lt;'Adj-Barrows'!$B$10,'E-Barrows'!K125," ")</f>
        <v xml:space="preserve"> </v>
      </c>
      <c r="M125" s="27" t="str">
        <f>IF('E-Barrows'!A125&lt;'Adj-Barrows'!$B$10,'E-Barrows'!M125," ")</f>
        <v xml:space="preserve"> </v>
      </c>
      <c r="N125" s="29" t="str">
        <f>IF('E-Barrows'!A125&lt;'Adj-Barrows'!$B$10,1/L125," ")</f>
        <v xml:space="preserve"> </v>
      </c>
      <c r="P125" s="30" t="str">
        <f t="shared" si="6"/>
        <v/>
      </c>
      <c r="Q125" s="30" t="str">
        <f t="shared" si="7"/>
        <v/>
      </c>
      <c r="R125" s="30" t="str">
        <f t="shared" si="8"/>
        <v/>
      </c>
    </row>
    <row r="126" spans="1:18" x14ac:dyDescent="0.25">
      <c r="A126" s="27" t="str">
        <f>IF('E-Barrows'!A126&lt;'Adj-Barrows'!$B$10,'E-Barrows'!B126," ")</f>
        <v xml:space="preserve"> </v>
      </c>
      <c r="B126" s="25" t="str">
        <f>IF('E-Barrows'!A126&lt;'Adj-Barrows'!$B$10,'E-Barrows'!A126," ")</f>
        <v xml:space="preserve"> </v>
      </c>
      <c r="C126" s="25" t="str">
        <f>IF('E-Barrows'!A126&lt;'Adj-Barrows'!$B$10,'E-Barrows'!C126," ")</f>
        <v xml:space="preserve"> </v>
      </c>
      <c r="D126" s="27" t="str">
        <f>IF('E-Barrows'!A126&lt;'Adj-Barrows'!$B$10,'E-Barrows'!G126," ")</f>
        <v xml:space="preserve"> </v>
      </c>
      <c r="E126" s="26" t="str">
        <f>IF('E-Barrows'!A126&lt;'Adj-Barrows'!$B$10,'E-Barrows'!D126," ")</f>
        <v xml:space="preserve"> </v>
      </c>
      <c r="F126" s="26"/>
      <c r="G126" s="216" t="str">
        <f t="shared" si="5"/>
        <v xml:space="preserve"> </v>
      </c>
      <c r="H126" s="27" t="str">
        <f>IF('E-Barrows'!A126&lt;'Adj-Barrows'!$B$10,'E-Barrows'!I126," ")</f>
        <v xml:space="preserve"> </v>
      </c>
      <c r="I126" s="217" t="str">
        <f>IF('E-Barrows'!A126&lt;'Adj-Barrows'!$B$10,'E-Barrows'!A126," ")</f>
        <v xml:space="preserve"> </v>
      </c>
      <c r="J126" s="25" t="str">
        <f>IF('E-Barrows'!A126&lt;'Adj-Barrows'!$B$10,'E-Barrows'!J126," ")</f>
        <v xml:space="preserve"> </v>
      </c>
      <c r="K126" s="27" t="str">
        <f>IF('E-Barrows'!A126&lt;'Adj-Barrows'!$B$10,'E-Barrows'!N126," ")</f>
        <v xml:space="preserve"> </v>
      </c>
      <c r="L126" s="26" t="str">
        <f>IF('E-Barrows'!A126&lt;'Adj-Barrows'!$B$10,'E-Barrows'!K126," ")</f>
        <v xml:space="preserve"> </v>
      </c>
      <c r="M126" s="27" t="str">
        <f>IF('E-Barrows'!A126&lt;'Adj-Barrows'!$B$10,'E-Barrows'!M126," ")</f>
        <v xml:space="preserve"> </v>
      </c>
      <c r="N126" s="29" t="str">
        <f>IF('E-Barrows'!A126&lt;'Adj-Barrows'!$B$10,1/L126," ")</f>
        <v xml:space="preserve"> </v>
      </c>
      <c r="P126" s="30" t="str">
        <f t="shared" si="6"/>
        <v/>
      </c>
      <c r="Q126" s="30" t="str">
        <f t="shared" si="7"/>
        <v/>
      </c>
      <c r="R126" s="30" t="str">
        <f t="shared" si="8"/>
        <v/>
      </c>
    </row>
    <row r="127" spans="1:18" x14ac:dyDescent="0.25">
      <c r="A127" s="27" t="str">
        <f>IF('E-Barrows'!A127&lt;'Adj-Barrows'!$B$10,'E-Barrows'!B127," ")</f>
        <v xml:space="preserve"> </v>
      </c>
      <c r="B127" s="25" t="str">
        <f>IF('E-Barrows'!A127&lt;'Adj-Barrows'!$B$10,'E-Barrows'!A127," ")</f>
        <v xml:space="preserve"> </v>
      </c>
      <c r="C127" s="25" t="str">
        <f>IF('E-Barrows'!A127&lt;'Adj-Barrows'!$B$10,'E-Barrows'!C127," ")</f>
        <v xml:space="preserve"> </v>
      </c>
      <c r="D127" s="27" t="str">
        <f>IF('E-Barrows'!A127&lt;'Adj-Barrows'!$B$10,'E-Barrows'!G127," ")</f>
        <v xml:space="preserve"> </v>
      </c>
      <c r="E127" s="26" t="str">
        <f>IF('E-Barrows'!A127&lt;'Adj-Barrows'!$B$10,'E-Barrows'!D127," ")</f>
        <v xml:space="preserve"> </v>
      </c>
      <c r="F127" s="26"/>
      <c r="G127" s="216" t="str">
        <f t="shared" si="5"/>
        <v xml:space="preserve"> </v>
      </c>
      <c r="H127" s="27" t="str">
        <f>IF('E-Barrows'!A127&lt;'Adj-Barrows'!$B$10,'E-Barrows'!I127," ")</f>
        <v xml:space="preserve"> </v>
      </c>
      <c r="I127" s="217" t="str">
        <f>IF('E-Barrows'!A127&lt;'Adj-Barrows'!$B$10,'E-Barrows'!A127," ")</f>
        <v xml:space="preserve"> </v>
      </c>
      <c r="J127" s="25" t="str">
        <f>IF('E-Barrows'!A127&lt;'Adj-Barrows'!$B$10,'E-Barrows'!J127," ")</f>
        <v xml:space="preserve"> </v>
      </c>
      <c r="K127" s="27" t="str">
        <f>IF('E-Barrows'!A127&lt;'Adj-Barrows'!$B$10,'E-Barrows'!N127," ")</f>
        <v xml:space="preserve"> </v>
      </c>
      <c r="L127" s="26" t="str">
        <f>IF('E-Barrows'!A127&lt;'Adj-Barrows'!$B$10,'E-Barrows'!K127," ")</f>
        <v xml:space="preserve"> </v>
      </c>
      <c r="M127" s="27" t="str">
        <f>IF('E-Barrows'!A127&lt;'Adj-Barrows'!$B$10,'E-Barrows'!M127," ")</f>
        <v xml:space="preserve"> </v>
      </c>
      <c r="N127" s="29" t="str">
        <f>IF('E-Barrows'!A127&lt;'Adj-Barrows'!$B$10,1/L127," ")</f>
        <v xml:space="preserve"> </v>
      </c>
      <c r="P127" s="30" t="str">
        <f t="shared" si="6"/>
        <v/>
      </c>
      <c r="Q127" s="30" t="str">
        <f t="shared" si="7"/>
        <v/>
      </c>
      <c r="R127" s="30" t="str">
        <f t="shared" si="8"/>
        <v/>
      </c>
    </row>
    <row r="128" spans="1:18" x14ac:dyDescent="0.25">
      <c r="A128" s="27" t="str">
        <f>IF('E-Barrows'!A128&lt;'Adj-Barrows'!$B$10,'E-Barrows'!B128," ")</f>
        <v xml:space="preserve"> </v>
      </c>
      <c r="B128" s="25" t="str">
        <f>IF('E-Barrows'!A128&lt;'Adj-Barrows'!$B$10,'E-Barrows'!A128," ")</f>
        <v xml:space="preserve"> </v>
      </c>
      <c r="C128" s="25" t="str">
        <f>IF('E-Barrows'!A128&lt;'Adj-Barrows'!$B$10,'E-Barrows'!C128," ")</f>
        <v xml:space="preserve"> </v>
      </c>
      <c r="D128" s="27" t="str">
        <f>IF('E-Barrows'!A128&lt;'Adj-Barrows'!$B$10,'E-Barrows'!G128," ")</f>
        <v xml:space="preserve"> </v>
      </c>
      <c r="E128" s="26" t="str">
        <f>IF('E-Barrows'!A128&lt;'Adj-Barrows'!$B$10,'E-Barrows'!D128," ")</f>
        <v xml:space="preserve"> </v>
      </c>
      <c r="F128" s="26"/>
      <c r="G128" s="216" t="str">
        <f t="shared" si="5"/>
        <v xml:space="preserve"> </v>
      </c>
      <c r="H128" s="27" t="str">
        <f>IF('E-Barrows'!A128&lt;'Adj-Barrows'!$B$10,'E-Barrows'!I128," ")</f>
        <v xml:space="preserve"> </v>
      </c>
      <c r="I128" s="217" t="str">
        <f>IF('E-Barrows'!A128&lt;'Adj-Barrows'!$B$10,'E-Barrows'!A128," ")</f>
        <v xml:space="preserve"> </v>
      </c>
      <c r="J128" s="25" t="str">
        <f>IF('E-Barrows'!A128&lt;'Adj-Barrows'!$B$10,'E-Barrows'!J128," ")</f>
        <v xml:space="preserve"> </v>
      </c>
      <c r="K128" s="27" t="str">
        <f>IF('E-Barrows'!A128&lt;'Adj-Barrows'!$B$10,'E-Barrows'!N128," ")</f>
        <v xml:space="preserve"> </v>
      </c>
      <c r="L128" s="26" t="str">
        <f>IF('E-Barrows'!A128&lt;'Adj-Barrows'!$B$10,'E-Barrows'!K128," ")</f>
        <v xml:space="preserve"> </v>
      </c>
      <c r="M128" s="27" t="str">
        <f>IF('E-Barrows'!A128&lt;'Adj-Barrows'!$B$10,'E-Barrows'!M128," ")</f>
        <v xml:space="preserve"> </v>
      </c>
      <c r="N128" s="29" t="str">
        <f>IF('E-Barrows'!A128&lt;'Adj-Barrows'!$B$10,1/L128," ")</f>
        <v xml:space="preserve"> </v>
      </c>
      <c r="P128" s="30" t="str">
        <f t="shared" si="6"/>
        <v/>
      </c>
      <c r="Q128" s="30" t="str">
        <f t="shared" si="7"/>
        <v/>
      </c>
      <c r="R128" s="30" t="str">
        <f t="shared" si="8"/>
        <v/>
      </c>
    </row>
    <row r="129" spans="1:18" x14ac:dyDescent="0.25">
      <c r="A129" s="27" t="str">
        <f>IF('E-Barrows'!A129&lt;'Adj-Barrows'!$B$10,'E-Barrows'!B129," ")</f>
        <v xml:space="preserve"> </v>
      </c>
      <c r="B129" s="25" t="str">
        <f>IF('E-Barrows'!A129&lt;'Adj-Barrows'!$B$10,'E-Barrows'!A129," ")</f>
        <v xml:space="preserve"> </v>
      </c>
      <c r="C129" s="25" t="str">
        <f>IF('E-Barrows'!A129&lt;'Adj-Barrows'!$B$10,'E-Barrows'!C129," ")</f>
        <v xml:space="preserve"> </v>
      </c>
      <c r="D129" s="27" t="str">
        <f>IF('E-Barrows'!A129&lt;'Adj-Barrows'!$B$10,'E-Barrows'!G129," ")</f>
        <v xml:space="preserve"> </v>
      </c>
      <c r="E129" s="26" t="str">
        <f>IF('E-Barrows'!A129&lt;'Adj-Barrows'!$B$10,'E-Barrows'!D129," ")</f>
        <v xml:space="preserve"> </v>
      </c>
      <c r="F129" s="26"/>
      <c r="G129" s="216" t="str">
        <f t="shared" si="5"/>
        <v xml:space="preserve"> </v>
      </c>
      <c r="H129" s="27" t="str">
        <f>IF('E-Barrows'!A129&lt;'Adj-Barrows'!$B$10,'E-Barrows'!I129," ")</f>
        <v xml:space="preserve"> </v>
      </c>
      <c r="I129" s="217" t="str">
        <f>IF('E-Barrows'!A129&lt;'Adj-Barrows'!$B$10,'E-Barrows'!A129," ")</f>
        <v xml:space="preserve"> </v>
      </c>
      <c r="J129" s="25" t="str">
        <f>IF('E-Barrows'!A129&lt;'Adj-Barrows'!$B$10,'E-Barrows'!J129," ")</f>
        <v xml:space="preserve"> </v>
      </c>
      <c r="K129" s="27" t="str">
        <f>IF('E-Barrows'!A129&lt;'Adj-Barrows'!$B$10,'E-Barrows'!N129," ")</f>
        <v xml:space="preserve"> </v>
      </c>
      <c r="L129" s="26" t="str">
        <f>IF('E-Barrows'!A129&lt;'Adj-Barrows'!$B$10,'E-Barrows'!K129," ")</f>
        <v xml:space="preserve"> </v>
      </c>
      <c r="M129" s="27" t="str">
        <f>IF('E-Barrows'!A129&lt;'Adj-Barrows'!$B$10,'E-Barrows'!M129," ")</f>
        <v xml:space="preserve"> </v>
      </c>
      <c r="N129" s="29" t="str">
        <f>IF('E-Barrows'!A129&lt;'Adj-Barrows'!$B$10,1/L129," ")</f>
        <v xml:space="preserve"> </v>
      </c>
      <c r="P129" s="30" t="str">
        <f t="shared" si="6"/>
        <v/>
      </c>
      <c r="Q129" s="30" t="str">
        <f t="shared" si="7"/>
        <v/>
      </c>
      <c r="R129" s="30" t="str">
        <f t="shared" si="8"/>
        <v/>
      </c>
    </row>
    <row r="130" spans="1:18" x14ac:dyDescent="0.25">
      <c r="A130" s="27" t="str">
        <f>IF('E-Barrows'!A130&lt;'Adj-Barrows'!$B$10,'E-Barrows'!B130," ")</f>
        <v xml:space="preserve"> </v>
      </c>
      <c r="B130" s="25" t="str">
        <f>IF('E-Barrows'!A130&lt;'Adj-Barrows'!$B$10,'E-Barrows'!A130," ")</f>
        <v xml:space="preserve"> </v>
      </c>
      <c r="C130" s="25" t="str">
        <f>IF('E-Barrows'!A130&lt;'Adj-Barrows'!$B$10,'E-Barrows'!C130," ")</f>
        <v xml:space="preserve"> </v>
      </c>
      <c r="D130" s="27" t="str">
        <f>IF('E-Barrows'!A130&lt;'Adj-Barrows'!$B$10,'E-Barrows'!G130," ")</f>
        <v xml:space="preserve"> </v>
      </c>
      <c r="E130" s="26" t="str">
        <f>IF('E-Barrows'!A130&lt;'Adj-Barrows'!$B$10,'E-Barrows'!D130," ")</f>
        <v xml:space="preserve"> </v>
      </c>
      <c r="F130" s="26"/>
      <c r="G130" s="216" t="str">
        <f t="shared" si="5"/>
        <v xml:space="preserve"> </v>
      </c>
      <c r="H130" s="27" t="str">
        <f>IF('E-Barrows'!A130&lt;'Adj-Barrows'!$B$10,'E-Barrows'!I130," ")</f>
        <v xml:space="preserve"> </v>
      </c>
      <c r="I130" s="217" t="str">
        <f>IF('E-Barrows'!A130&lt;'Adj-Barrows'!$B$10,'E-Barrows'!A130," ")</f>
        <v xml:space="preserve"> </v>
      </c>
      <c r="J130" s="25" t="str">
        <f>IF('E-Barrows'!A130&lt;'Adj-Barrows'!$B$10,'E-Barrows'!J130," ")</f>
        <v xml:space="preserve"> </v>
      </c>
      <c r="K130" s="27" t="str">
        <f>IF('E-Barrows'!A130&lt;'Adj-Barrows'!$B$10,'E-Barrows'!N130," ")</f>
        <v xml:space="preserve"> </v>
      </c>
      <c r="L130" s="26" t="str">
        <f>IF('E-Barrows'!A130&lt;'Adj-Barrows'!$B$10,'E-Barrows'!K130," ")</f>
        <v xml:space="preserve"> </v>
      </c>
      <c r="M130" s="27" t="str">
        <f>IF('E-Barrows'!A130&lt;'Adj-Barrows'!$B$10,'E-Barrows'!M130," ")</f>
        <v xml:space="preserve"> </v>
      </c>
      <c r="N130" s="29" t="str">
        <f>IF('E-Barrows'!A130&lt;'Adj-Barrows'!$B$10,1/L130," ")</f>
        <v xml:space="preserve"> </v>
      </c>
      <c r="P130" s="30" t="str">
        <f t="shared" si="6"/>
        <v/>
      </c>
      <c r="Q130" s="30" t="str">
        <f t="shared" si="7"/>
        <v/>
      </c>
      <c r="R130" s="30" t="str">
        <f t="shared" si="8"/>
        <v/>
      </c>
    </row>
    <row r="131" spans="1:18" x14ac:dyDescent="0.25">
      <c r="A131" s="27" t="str">
        <f>IF('E-Barrows'!A131&lt;'Adj-Barrows'!$B$10,'E-Barrows'!B131," ")</f>
        <v xml:space="preserve"> </v>
      </c>
      <c r="B131" s="25" t="str">
        <f>IF('E-Barrows'!A131&lt;'Adj-Barrows'!$B$10,'E-Barrows'!A131," ")</f>
        <v xml:space="preserve"> </v>
      </c>
      <c r="C131" s="25" t="str">
        <f>IF('E-Barrows'!A131&lt;'Adj-Barrows'!$B$10,'E-Barrows'!C131," ")</f>
        <v xml:space="preserve"> </v>
      </c>
      <c r="D131" s="27" t="str">
        <f>IF('E-Barrows'!A131&lt;'Adj-Barrows'!$B$10,'E-Barrows'!G131," ")</f>
        <v xml:space="preserve"> </v>
      </c>
      <c r="E131" s="26" t="str">
        <f>IF('E-Barrows'!A131&lt;'Adj-Barrows'!$B$10,'E-Barrows'!D131," ")</f>
        <v xml:space="preserve"> </v>
      </c>
      <c r="F131" s="26"/>
      <c r="G131" s="216" t="str">
        <f t="shared" si="5"/>
        <v xml:space="preserve"> </v>
      </c>
      <c r="H131" s="27" t="str">
        <f>IF('E-Barrows'!A131&lt;'Adj-Barrows'!$B$10,'E-Barrows'!I131," ")</f>
        <v xml:space="preserve"> </v>
      </c>
      <c r="I131" s="217" t="str">
        <f>IF('E-Barrows'!A131&lt;'Adj-Barrows'!$B$10,'E-Barrows'!A131," ")</f>
        <v xml:space="preserve"> </v>
      </c>
      <c r="J131" s="25" t="str">
        <f>IF('E-Barrows'!A131&lt;'Adj-Barrows'!$B$10,'E-Barrows'!J131," ")</f>
        <v xml:space="preserve"> </v>
      </c>
      <c r="K131" s="27" t="str">
        <f>IF('E-Barrows'!A131&lt;'Adj-Barrows'!$B$10,'E-Barrows'!N131," ")</f>
        <v xml:space="preserve"> </v>
      </c>
      <c r="L131" s="26" t="str">
        <f>IF('E-Barrows'!A131&lt;'Adj-Barrows'!$B$10,'E-Barrows'!K131," ")</f>
        <v xml:space="preserve"> </v>
      </c>
      <c r="M131" s="27" t="str">
        <f>IF('E-Barrows'!A131&lt;'Adj-Barrows'!$B$10,'E-Barrows'!M131," ")</f>
        <v xml:space="preserve"> </v>
      </c>
      <c r="N131" s="29" t="str">
        <f>IF('E-Barrows'!A131&lt;'Adj-Barrows'!$B$10,1/L131," ")</f>
        <v xml:space="preserve"> </v>
      </c>
      <c r="P131" s="30" t="str">
        <f t="shared" si="6"/>
        <v/>
      </c>
      <c r="Q131" s="30" t="str">
        <f t="shared" si="7"/>
        <v/>
      </c>
      <c r="R131" s="30" t="str">
        <f t="shared" si="8"/>
        <v/>
      </c>
    </row>
    <row r="132" spans="1:18" x14ac:dyDescent="0.25">
      <c r="A132" s="27" t="str">
        <f>IF('E-Barrows'!A132&lt;'Adj-Barrows'!$B$10,'E-Barrows'!B132," ")</f>
        <v xml:space="preserve"> </v>
      </c>
      <c r="B132" s="25" t="str">
        <f>IF('E-Barrows'!A132&lt;'Adj-Barrows'!$B$10,'E-Barrows'!A132," ")</f>
        <v xml:space="preserve"> </v>
      </c>
      <c r="C132" s="25" t="str">
        <f>IF('E-Barrows'!A132&lt;'Adj-Barrows'!$B$10,'E-Barrows'!C132," ")</f>
        <v xml:space="preserve"> </v>
      </c>
      <c r="D132" s="27" t="str">
        <f>IF('E-Barrows'!A132&lt;'Adj-Barrows'!$B$10,'E-Barrows'!G132," ")</f>
        <v xml:space="preserve"> </v>
      </c>
      <c r="E132" s="26" t="str">
        <f>IF('E-Barrows'!A132&lt;'Adj-Barrows'!$B$10,'E-Barrows'!D132," ")</f>
        <v xml:space="preserve"> </v>
      </c>
      <c r="F132" s="26"/>
      <c r="G132" s="216" t="str">
        <f t="shared" ref="G132:G185" si="9">IFERROR(I132,"")</f>
        <v xml:space="preserve"> </v>
      </c>
      <c r="H132" s="27" t="str">
        <f>IF('E-Barrows'!A132&lt;'Adj-Barrows'!$B$10,'E-Barrows'!I132," ")</f>
        <v xml:space="preserve"> </v>
      </c>
      <c r="I132" s="217" t="str">
        <f>IF('E-Barrows'!A132&lt;'Adj-Barrows'!$B$10,'E-Barrows'!A132," ")</f>
        <v xml:space="preserve"> </v>
      </c>
      <c r="J132" s="25" t="str">
        <f>IF('E-Barrows'!A132&lt;'Adj-Barrows'!$B$10,'E-Barrows'!J132," ")</f>
        <v xml:space="preserve"> </v>
      </c>
      <c r="K132" s="27" t="str">
        <f>IF('E-Barrows'!A132&lt;'Adj-Barrows'!$B$10,'E-Barrows'!N132," ")</f>
        <v xml:space="preserve"> </v>
      </c>
      <c r="L132" s="26" t="str">
        <f>IF('E-Barrows'!A132&lt;'Adj-Barrows'!$B$10,'E-Barrows'!K132," ")</f>
        <v xml:space="preserve"> </v>
      </c>
      <c r="M132" s="27" t="str">
        <f>IF('E-Barrows'!A132&lt;'Adj-Barrows'!$B$10,'E-Barrows'!M132," ")</f>
        <v xml:space="preserve"> </v>
      </c>
      <c r="N132" s="29" t="str">
        <f>IF('E-Barrows'!A132&lt;'Adj-Barrows'!$B$10,1/L132," ")</f>
        <v xml:space="preserve"> </v>
      </c>
      <c r="P132" s="30" t="str">
        <f t="shared" si="6"/>
        <v/>
      </c>
      <c r="Q132" s="30" t="str">
        <f t="shared" si="7"/>
        <v/>
      </c>
      <c r="R132" s="30" t="str">
        <f t="shared" si="8"/>
        <v/>
      </c>
    </row>
    <row r="133" spans="1:18" x14ac:dyDescent="0.25">
      <c r="A133" s="27" t="str">
        <f>IF('E-Barrows'!A133&lt;'Adj-Barrows'!$B$10,'E-Barrows'!B133," ")</f>
        <v xml:space="preserve"> </v>
      </c>
      <c r="B133" s="25" t="str">
        <f>IF('E-Barrows'!A133&lt;'Adj-Barrows'!$B$10,'E-Barrows'!A133," ")</f>
        <v xml:space="preserve"> </v>
      </c>
      <c r="C133" s="25" t="str">
        <f>IF('E-Barrows'!A133&lt;'Adj-Barrows'!$B$10,'E-Barrows'!C133," ")</f>
        <v xml:space="preserve"> </v>
      </c>
      <c r="D133" s="27" t="str">
        <f>IF('E-Barrows'!A133&lt;'Adj-Barrows'!$B$10,'E-Barrows'!G133," ")</f>
        <v xml:space="preserve"> </v>
      </c>
      <c r="E133" s="26" t="str">
        <f>IF('E-Barrows'!A133&lt;'Adj-Barrows'!$B$10,'E-Barrows'!D133," ")</f>
        <v xml:space="preserve"> </v>
      </c>
      <c r="F133" s="26"/>
      <c r="G133" s="216" t="str">
        <f t="shared" si="9"/>
        <v xml:space="preserve"> </v>
      </c>
      <c r="H133" s="27" t="str">
        <f>IF('E-Barrows'!A133&lt;'Adj-Barrows'!$B$10,'E-Barrows'!I133," ")</f>
        <v xml:space="preserve"> </v>
      </c>
      <c r="I133" s="217" t="str">
        <f>IF('E-Barrows'!A133&lt;'Adj-Barrows'!$B$10,'E-Barrows'!A133," ")</f>
        <v xml:space="preserve"> </v>
      </c>
      <c r="J133" s="25" t="str">
        <f>IF('E-Barrows'!A133&lt;'Adj-Barrows'!$B$10,'E-Barrows'!J133," ")</f>
        <v xml:space="preserve"> </v>
      </c>
      <c r="K133" s="27" t="str">
        <f>IF('E-Barrows'!A133&lt;'Adj-Barrows'!$B$10,'E-Barrows'!N133," ")</f>
        <v xml:space="preserve"> </v>
      </c>
      <c r="L133" s="26" t="str">
        <f>IF('E-Barrows'!A133&lt;'Adj-Barrows'!$B$10,'E-Barrows'!K133," ")</f>
        <v xml:space="preserve"> </v>
      </c>
      <c r="M133" s="27" t="str">
        <f>IF('E-Barrows'!A133&lt;'Adj-Barrows'!$B$10,'E-Barrows'!M133," ")</f>
        <v xml:space="preserve"> </v>
      </c>
      <c r="N133" s="29" t="str">
        <f>IF('E-Barrows'!A133&lt;'Adj-Barrows'!$B$10,1/L133," ")</f>
        <v xml:space="preserve"> </v>
      </c>
      <c r="P133" s="30" t="str">
        <f t="shared" ref="P133:P185" si="10">IFERROR(IF(J133&lt;0,"",CONVERT(J133,"g", "lbm")),"")</f>
        <v/>
      </c>
      <c r="Q133" s="30" t="str">
        <f t="shared" ref="Q133:Q185" si="11">IFERROR(IF(M133&lt;0,"",CONVERT(M133,"kg", "lbm")),"")</f>
        <v/>
      </c>
      <c r="R133" s="30" t="str">
        <f t="shared" ref="R133:R185" si="12">IFERROR(IF(H133&lt;0,"",CONVERT(H133,"kg", "lbm")),"")</f>
        <v/>
      </c>
    </row>
    <row r="134" spans="1:18" x14ac:dyDescent="0.25">
      <c r="A134" s="27" t="str">
        <f>IF('E-Barrows'!A134&lt;'Adj-Barrows'!$B$10,'E-Barrows'!B134," ")</f>
        <v xml:space="preserve"> </v>
      </c>
      <c r="B134" s="25" t="str">
        <f>IF('E-Barrows'!A134&lt;'Adj-Barrows'!$B$10,'E-Barrows'!A134," ")</f>
        <v xml:space="preserve"> </v>
      </c>
      <c r="C134" s="25" t="str">
        <f>IF('E-Barrows'!A134&lt;'Adj-Barrows'!$B$10,'E-Barrows'!C134," ")</f>
        <v xml:space="preserve"> </v>
      </c>
      <c r="D134" s="27" t="str">
        <f>IF('E-Barrows'!A134&lt;'Adj-Barrows'!$B$10,'E-Barrows'!G134," ")</f>
        <v xml:space="preserve"> </v>
      </c>
      <c r="E134" s="26" t="str">
        <f>IF('E-Barrows'!A134&lt;'Adj-Barrows'!$B$10,'E-Barrows'!D134," ")</f>
        <v xml:space="preserve"> </v>
      </c>
      <c r="F134" s="26"/>
      <c r="G134" s="216" t="str">
        <f t="shared" si="9"/>
        <v xml:space="preserve"> </v>
      </c>
      <c r="H134" s="27" t="str">
        <f>IF('E-Barrows'!A134&lt;'Adj-Barrows'!$B$10,'E-Barrows'!I134," ")</f>
        <v xml:space="preserve"> </v>
      </c>
      <c r="I134" s="217" t="str">
        <f>IF('E-Barrows'!A134&lt;'Adj-Barrows'!$B$10,'E-Barrows'!A134," ")</f>
        <v xml:space="preserve"> </v>
      </c>
      <c r="J134" s="25" t="str">
        <f>IF('E-Barrows'!A134&lt;'Adj-Barrows'!$B$10,'E-Barrows'!J134," ")</f>
        <v xml:space="preserve"> </v>
      </c>
      <c r="K134" s="27" t="str">
        <f>IF('E-Barrows'!A134&lt;'Adj-Barrows'!$B$10,'E-Barrows'!N134," ")</f>
        <v xml:space="preserve"> </v>
      </c>
      <c r="L134" s="26" t="str">
        <f>IF('E-Barrows'!A134&lt;'Adj-Barrows'!$B$10,'E-Barrows'!K134," ")</f>
        <v xml:space="preserve"> </v>
      </c>
      <c r="M134" s="27" t="str">
        <f>IF('E-Barrows'!A134&lt;'Adj-Barrows'!$B$10,'E-Barrows'!M134," ")</f>
        <v xml:space="preserve"> </v>
      </c>
      <c r="N134" s="29" t="str">
        <f>IF('E-Barrows'!A134&lt;'Adj-Barrows'!$B$10,1/L134," ")</f>
        <v xml:space="preserve"> </v>
      </c>
      <c r="P134" s="30" t="str">
        <f t="shared" si="10"/>
        <v/>
      </c>
      <c r="Q134" s="30" t="str">
        <f t="shared" si="11"/>
        <v/>
      </c>
      <c r="R134" s="30" t="str">
        <f t="shared" si="12"/>
        <v/>
      </c>
    </row>
    <row r="135" spans="1:18" x14ac:dyDescent="0.25">
      <c r="A135" s="27" t="str">
        <f>IF('E-Barrows'!A135&lt;'Adj-Barrows'!$B$10,'E-Barrows'!B135," ")</f>
        <v xml:space="preserve"> </v>
      </c>
      <c r="B135" s="25" t="str">
        <f>IF('E-Barrows'!A135&lt;'Adj-Barrows'!$B$10,'E-Barrows'!A135," ")</f>
        <v xml:space="preserve"> </v>
      </c>
      <c r="C135" s="25" t="str">
        <f>IF('E-Barrows'!A135&lt;'Adj-Barrows'!$B$10,'E-Barrows'!C135," ")</f>
        <v xml:space="preserve"> </v>
      </c>
      <c r="D135" s="27" t="str">
        <f>IF('E-Barrows'!A135&lt;'Adj-Barrows'!$B$10,'E-Barrows'!G135," ")</f>
        <v xml:space="preserve"> </v>
      </c>
      <c r="E135" s="26" t="str">
        <f>IF('E-Barrows'!A135&lt;'Adj-Barrows'!$B$10,'E-Barrows'!D135," ")</f>
        <v xml:space="preserve"> </v>
      </c>
      <c r="F135" s="26"/>
      <c r="G135" s="216" t="str">
        <f t="shared" si="9"/>
        <v xml:space="preserve"> </v>
      </c>
      <c r="H135" s="27" t="str">
        <f>IF('E-Barrows'!A135&lt;'Adj-Barrows'!$B$10,'E-Barrows'!I135," ")</f>
        <v xml:space="preserve"> </v>
      </c>
      <c r="I135" s="217" t="str">
        <f>IF('E-Barrows'!A135&lt;'Adj-Barrows'!$B$10,'E-Barrows'!A135," ")</f>
        <v xml:space="preserve"> </v>
      </c>
      <c r="J135" s="25" t="str">
        <f>IF('E-Barrows'!A135&lt;'Adj-Barrows'!$B$10,'E-Barrows'!J135," ")</f>
        <v xml:space="preserve"> </v>
      </c>
      <c r="K135" s="27" t="str">
        <f>IF('E-Barrows'!A135&lt;'Adj-Barrows'!$B$10,'E-Barrows'!N135," ")</f>
        <v xml:space="preserve"> </v>
      </c>
      <c r="L135" s="26" t="str">
        <f>IF('E-Barrows'!A135&lt;'Adj-Barrows'!$B$10,'E-Barrows'!K135," ")</f>
        <v xml:space="preserve"> </v>
      </c>
      <c r="M135" s="27" t="str">
        <f>IF('E-Barrows'!A135&lt;'Adj-Barrows'!$B$10,'E-Barrows'!M135," ")</f>
        <v xml:space="preserve"> </v>
      </c>
      <c r="N135" s="29" t="str">
        <f>IF('E-Barrows'!A135&lt;'Adj-Barrows'!$B$10,1/L135," ")</f>
        <v xml:space="preserve"> </v>
      </c>
      <c r="P135" s="30" t="str">
        <f t="shared" si="10"/>
        <v/>
      </c>
      <c r="Q135" s="30" t="str">
        <f t="shared" si="11"/>
        <v/>
      </c>
      <c r="R135" s="30" t="str">
        <f t="shared" si="12"/>
        <v/>
      </c>
    </row>
    <row r="136" spans="1:18" x14ac:dyDescent="0.25">
      <c r="A136" s="27" t="str">
        <f>IF('E-Barrows'!A136&lt;'Adj-Barrows'!$B$10,'E-Barrows'!B136," ")</f>
        <v xml:space="preserve"> </v>
      </c>
      <c r="B136" s="25" t="str">
        <f>IF('E-Barrows'!A136&lt;'Adj-Barrows'!$B$10,'E-Barrows'!A136," ")</f>
        <v xml:space="preserve"> </v>
      </c>
      <c r="C136" s="25" t="str">
        <f>IF('E-Barrows'!A136&lt;'Adj-Barrows'!$B$10,'E-Barrows'!C136," ")</f>
        <v xml:space="preserve"> </v>
      </c>
      <c r="D136" s="27" t="str">
        <f>IF('E-Barrows'!A136&lt;'Adj-Barrows'!$B$10,'E-Barrows'!G136," ")</f>
        <v xml:space="preserve"> </v>
      </c>
      <c r="E136" s="26" t="str">
        <f>IF('E-Barrows'!A136&lt;'Adj-Barrows'!$B$10,'E-Barrows'!D136," ")</f>
        <v xml:space="preserve"> </v>
      </c>
      <c r="F136" s="26"/>
      <c r="G136" s="216" t="str">
        <f t="shared" si="9"/>
        <v xml:space="preserve"> </v>
      </c>
      <c r="H136" s="27" t="str">
        <f>IF('E-Barrows'!A136&lt;'Adj-Barrows'!$B$10,'E-Barrows'!I136," ")</f>
        <v xml:space="preserve"> </v>
      </c>
      <c r="I136" s="217" t="str">
        <f>IF('E-Barrows'!A136&lt;'Adj-Barrows'!$B$10,'E-Barrows'!A136," ")</f>
        <v xml:space="preserve"> </v>
      </c>
      <c r="J136" s="25" t="str">
        <f>IF('E-Barrows'!A136&lt;'Adj-Barrows'!$B$10,'E-Barrows'!J136," ")</f>
        <v xml:space="preserve"> </v>
      </c>
      <c r="K136" s="27" t="str">
        <f>IF('E-Barrows'!A136&lt;'Adj-Barrows'!$B$10,'E-Barrows'!N136," ")</f>
        <v xml:space="preserve"> </v>
      </c>
      <c r="L136" s="26" t="str">
        <f>IF('E-Barrows'!A136&lt;'Adj-Barrows'!$B$10,'E-Barrows'!K136," ")</f>
        <v xml:space="preserve"> </v>
      </c>
      <c r="M136" s="27" t="str">
        <f>IF('E-Barrows'!A136&lt;'Adj-Barrows'!$B$10,'E-Barrows'!M136," ")</f>
        <v xml:space="preserve"> </v>
      </c>
      <c r="N136" s="29" t="str">
        <f>IF('E-Barrows'!A136&lt;'Adj-Barrows'!$B$10,1/L136," ")</f>
        <v xml:space="preserve"> </v>
      </c>
      <c r="P136" s="30" t="str">
        <f t="shared" si="10"/>
        <v/>
      </c>
      <c r="Q136" s="30" t="str">
        <f t="shared" si="11"/>
        <v/>
      </c>
      <c r="R136" s="30" t="str">
        <f t="shared" si="12"/>
        <v/>
      </c>
    </row>
    <row r="137" spans="1:18" x14ac:dyDescent="0.25">
      <c r="A137" s="27" t="str">
        <f>IF('E-Barrows'!A137&lt;'Adj-Barrows'!$B$10,'E-Barrows'!B137," ")</f>
        <v xml:space="preserve"> </v>
      </c>
      <c r="B137" s="25" t="str">
        <f>IF('E-Barrows'!A137&lt;'Adj-Barrows'!$B$10,'E-Barrows'!A137," ")</f>
        <v xml:space="preserve"> </v>
      </c>
      <c r="C137" s="25" t="str">
        <f>IF('E-Barrows'!A137&lt;'Adj-Barrows'!$B$10,'E-Barrows'!C137," ")</f>
        <v xml:space="preserve"> </v>
      </c>
      <c r="D137" s="27" t="str">
        <f>IF('E-Barrows'!A137&lt;'Adj-Barrows'!$B$10,'E-Barrows'!G137," ")</f>
        <v xml:space="preserve"> </v>
      </c>
      <c r="E137" s="26" t="str">
        <f>IF('E-Barrows'!A137&lt;'Adj-Barrows'!$B$10,'E-Barrows'!D137," ")</f>
        <v xml:space="preserve"> </v>
      </c>
      <c r="F137" s="26"/>
      <c r="G137" s="216" t="str">
        <f t="shared" si="9"/>
        <v xml:space="preserve"> </v>
      </c>
      <c r="H137" s="27" t="str">
        <f>IF('E-Barrows'!A137&lt;'Adj-Barrows'!$B$10,'E-Barrows'!I137," ")</f>
        <v xml:space="preserve"> </v>
      </c>
      <c r="I137" s="217" t="str">
        <f>IF('E-Barrows'!A137&lt;'Adj-Barrows'!$B$10,'E-Barrows'!A137," ")</f>
        <v xml:space="preserve"> </v>
      </c>
      <c r="J137" s="25" t="str">
        <f>IF('E-Barrows'!A137&lt;'Adj-Barrows'!$B$10,'E-Barrows'!J137," ")</f>
        <v xml:space="preserve"> </v>
      </c>
      <c r="K137" s="27" t="str">
        <f>IF('E-Barrows'!A137&lt;'Adj-Barrows'!$B$10,'E-Barrows'!N137," ")</f>
        <v xml:space="preserve"> </v>
      </c>
      <c r="L137" s="26" t="str">
        <f>IF('E-Barrows'!A137&lt;'Adj-Barrows'!$B$10,'E-Barrows'!K137," ")</f>
        <v xml:space="preserve"> </v>
      </c>
      <c r="M137" s="27" t="str">
        <f>IF('E-Barrows'!A137&lt;'Adj-Barrows'!$B$10,'E-Barrows'!M137," ")</f>
        <v xml:space="preserve"> </v>
      </c>
      <c r="N137" s="29" t="str">
        <f>IF('E-Barrows'!A137&lt;'Adj-Barrows'!$B$10,1/L137," ")</f>
        <v xml:space="preserve"> </v>
      </c>
      <c r="P137" s="30" t="str">
        <f t="shared" si="10"/>
        <v/>
      </c>
      <c r="Q137" s="30" t="str">
        <f t="shared" si="11"/>
        <v/>
      </c>
      <c r="R137" s="30" t="str">
        <f t="shared" si="12"/>
        <v/>
      </c>
    </row>
    <row r="138" spans="1:18" x14ac:dyDescent="0.25">
      <c r="A138" s="27" t="str">
        <f>IF('E-Barrows'!A138&lt;'Adj-Barrows'!$B$10,'E-Barrows'!B138," ")</f>
        <v xml:space="preserve"> </v>
      </c>
      <c r="B138" s="25" t="str">
        <f>IF('E-Barrows'!A138&lt;'Adj-Barrows'!$B$10,'E-Barrows'!A138," ")</f>
        <v xml:space="preserve"> </v>
      </c>
      <c r="C138" s="25" t="str">
        <f>IF('E-Barrows'!A138&lt;'Adj-Barrows'!$B$10,'E-Barrows'!C138," ")</f>
        <v xml:space="preserve"> </v>
      </c>
      <c r="D138" s="27" t="str">
        <f>IF('E-Barrows'!A138&lt;'Adj-Barrows'!$B$10,'E-Barrows'!G138," ")</f>
        <v xml:space="preserve"> </v>
      </c>
      <c r="E138" s="26" t="str">
        <f>IF('E-Barrows'!A138&lt;'Adj-Barrows'!$B$10,'E-Barrows'!D138," ")</f>
        <v xml:space="preserve"> </v>
      </c>
      <c r="F138" s="26"/>
      <c r="G138" s="216" t="str">
        <f t="shared" si="9"/>
        <v xml:space="preserve"> </v>
      </c>
      <c r="H138" s="27" t="str">
        <f>IF('E-Barrows'!A138&lt;'Adj-Barrows'!$B$10,'E-Barrows'!I138," ")</f>
        <v xml:space="preserve"> </v>
      </c>
      <c r="I138" s="217" t="str">
        <f>IF('E-Barrows'!A138&lt;'Adj-Barrows'!$B$10,'E-Barrows'!A138," ")</f>
        <v xml:space="preserve"> </v>
      </c>
      <c r="J138" s="25" t="str">
        <f>IF('E-Barrows'!A138&lt;'Adj-Barrows'!$B$10,'E-Barrows'!J138," ")</f>
        <v xml:space="preserve"> </v>
      </c>
      <c r="K138" s="27" t="str">
        <f>IF('E-Barrows'!A138&lt;'Adj-Barrows'!$B$10,'E-Barrows'!N138," ")</f>
        <v xml:space="preserve"> </v>
      </c>
      <c r="L138" s="26" t="str">
        <f>IF('E-Barrows'!A138&lt;'Adj-Barrows'!$B$10,'E-Barrows'!K138," ")</f>
        <v xml:space="preserve"> </v>
      </c>
      <c r="M138" s="27" t="str">
        <f>IF('E-Barrows'!A138&lt;'Adj-Barrows'!$B$10,'E-Barrows'!M138," ")</f>
        <v xml:space="preserve"> </v>
      </c>
      <c r="N138" s="29" t="str">
        <f>IF('E-Barrows'!A138&lt;'Adj-Barrows'!$B$10,1/L138," ")</f>
        <v xml:space="preserve"> </v>
      </c>
      <c r="P138" s="30" t="str">
        <f t="shared" si="10"/>
        <v/>
      </c>
      <c r="Q138" s="30" t="str">
        <f t="shared" si="11"/>
        <v/>
      </c>
      <c r="R138" s="30" t="str">
        <f t="shared" si="12"/>
        <v/>
      </c>
    </row>
    <row r="139" spans="1:18" x14ac:dyDescent="0.25">
      <c r="A139" s="27" t="str">
        <f>IF('E-Barrows'!A139&lt;'Adj-Barrows'!$B$10,'E-Barrows'!B139," ")</f>
        <v xml:space="preserve"> </v>
      </c>
      <c r="B139" s="25" t="str">
        <f>IF('E-Barrows'!A139&lt;'Adj-Barrows'!$B$10,'E-Barrows'!A139," ")</f>
        <v xml:space="preserve"> </v>
      </c>
      <c r="C139" s="25" t="str">
        <f>IF('E-Barrows'!A139&lt;'Adj-Barrows'!$B$10,'E-Barrows'!C139," ")</f>
        <v xml:space="preserve"> </v>
      </c>
      <c r="D139" s="27" t="str">
        <f>IF('E-Barrows'!A139&lt;'Adj-Barrows'!$B$10,'E-Barrows'!G139," ")</f>
        <v xml:space="preserve"> </v>
      </c>
      <c r="E139" s="26" t="str">
        <f>IF('E-Barrows'!A139&lt;'Adj-Barrows'!$B$10,'E-Barrows'!D139," ")</f>
        <v xml:space="preserve"> </v>
      </c>
      <c r="F139" s="26"/>
      <c r="G139" s="216" t="str">
        <f t="shared" si="9"/>
        <v xml:space="preserve"> </v>
      </c>
      <c r="H139" s="27" t="str">
        <f>IF('E-Barrows'!A139&lt;'Adj-Barrows'!$B$10,'E-Barrows'!I139," ")</f>
        <v xml:space="preserve"> </v>
      </c>
      <c r="I139" s="217" t="str">
        <f>IF('E-Barrows'!A139&lt;'Adj-Barrows'!$B$10,'E-Barrows'!A139," ")</f>
        <v xml:space="preserve"> </v>
      </c>
      <c r="J139" s="25" t="str">
        <f>IF('E-Barrows'!A139&lt;'Adj-Barrows'!$B$10,'E-Barrows'!J139," ")</f>
        <v xml:space="preserve"> </v>
      </c>
      <c r="K139" s="27" t="str">
        <f>IF('E-Barrows'!A139&lt;'Adj-Barrows'!$B$10,'E-Barrows'!N139," ")</f>
        <v xml:space="preserve"> </v>
      </c>
      <c r="L139" s="26" t="str">
        <f>IF('E-Barrows'!A139&lt;'Adj-Barrows'!$B$10,'E-Barrows'!K139," ")</f>
        <v xml:space="preserve"> </v>
      </c>
      <c r="M139" s="27" t="str">
        <f>IF('E-Barrows'!A139&lt;'Adj-Barrows'!$B$10,'E-Barrows'!M139," ")</f>
        <v xml:space="preserve"> </v>
      </c>
      <c r="N139" s="29" t="str">
        <f>IF('E-Barrows'!A139&lt;'Adj-Barrows'!$B$10,1/L139," ")</f>
        <v xml:space="preserve"> </v>
      </c>
      <c r="P139" s="30" t="str">
        <f t="shared" si="10"/>
        <v/>
      </c>
      <c r="Q139" s="30" t="str">
        <f t="shared" si="11"/>
        <v/>
      </c>
      <c r="R139" s="30" t="str">
        <f t="shared" si="12"/>
        <v/>
      </c>
    </row>
    <row r="140" spans="1:18" x14ac:dyDescent="0.25">
      <c r="A140" s="27" t="str">
        <f>IF('E-Barrows'!A140&lt;'Adj-Barrows'!$B$10,'E-Barrows'!B140," ")</f>
        <v xml:space="preserve"> </v>
      </c>
      <c r="B140" s="25" t="str">
        <f>IF('E-Barrows'!A140&lt;'Adj-Barrows'!$B$10,'E-Barrows'!A140," ")</f>
        <v xml:space="preserve"> </v>
      </c>
      <c r="C140" s="25" t="str">
        <f>IF('E-Barrows'!A140&lt;'Adj-Barrows'!$B$10,'E-Barrows'!C140," ")</f>
        <v xml:space="preserve"> </v>
      </c>
      <c r="D140" s="27" t="str">
        <f>IF('E-Barrows'!A140&lt;'Adj-Barrows'!$B$10,'E-Barrows'!G140," ")</f>
        <v xml:space="preserve"> </v>
      </c>
      <c r="E140" s="26" t="str">
        <f>IF('E-Barrows'!A140&lt;'Adj-Barrows'!$B$10,'E-Barrows'!D140," ")</f>
        <v xml:space="preserve"> </v>
      </c>
      <c r="F140" s="26"/>
      <c r="G140" s="216" t="str">
        <f t="shared" si="9"/>
        <v xml:space="preserve"> </v>
      </c>
      <c r="H140" s="27" t="str">
        <f>IF('E-Barrows'!A140&lt;'Adj-Barrows'!$B$10,'E-Barrows'!I140," ")</f>
        <v xml:space="preserve"> </v>
      </c>
      <c r="I140" s="217" t="str">
        <f>IF('E-Barrows'!A140&lt;'Adj-Barrows'!$B$10,'E-Barrows'!A140," ")</f>
        <v xml:space="preserve"> </v>
      </c>
      <c r="J140" s="25" t="str">
        <f>IF('E-Barrows'!A140&lt;'Adj-Barrows'!$B$10,'E-Barrows'!J140," ")</f>
        <v xml:space="preserve"> </v>
      </c>
      <c r="K140" s="27" t="str">
        <f>IF('E-Barrows'!A140&lt;'Adj-Barrows'!$B$10,'E-Barrows'!N140," ")</f>
        <v xml:space="preserve"> </v>
      </c>
      <c r="L140" s="26" t="str">
        <f>IF('E-Barrows'!A140&lt;'Adj-Barrows'!$B$10,'E-Barrows'!K140," ")</f>
        <v xml:space="preserve"> </v>
      </c>
      <c r="M140" s="27" t="str">
        <f>IF('E-Barrows'!A140&lt;'Adj-Barrows'!$B$10,'E-Barrows'!M140," ")</f>
        <v xml:space="preserve"> </v>
      </c>
      <c r="N140" s="29" t="str">
        <f>IF('E-Barrows'!A140&lt;'Adj-Barrows'!$B$10,1/L140," ")</f>
        <v xml:space="preserve"> </v>
      </c>
      <c r="P140" s="30" t="str">
        <f t="shared" si="10"/>
        <v/>
      </c>
      <c r="Q140" s="30" t="str">
        <f t="shared" si="11"/>
        <v/>
      </c>
      <c r="R140" s="30" t="str">
        <f t="shared" si="12"/>
        <v/>
      </c>
    </row>
    <row r="141" spans="1:18" x14ac:dyDescent="0.25">
      <c r="A141" s="27" t="str">
        <f>IF('E-Barrows'!A141&lt;'Adj-Barrows'!$B$10,'E-Barrows'!B141," ")</f>
        <v xml:space="preserve"> </v>
      </c>
      <c r="B141" s="25" t="str">
        <f>IF('E-Barrows'!A141&lt;'Adj-Barrows'!$B$10,'E-Barrows'!A141," ")</f>
        <v xml:space="preserve"> </v>
      </c>
      <c r="C141" s="25" t="str">
        <f>IF('E-Barrows'!A141&lt;'Adj-Barrows'!$B$10,'E-Barrows'!C141," ")</f>
        <v xml:space="preserve"> </v>
      </c>
      <c r="D141" s="27" t="str">
        <f>IF('E-Barrows'!A141&lt;'Adj-Barrows'!$B$10,'E-Barrows'!G141," ")</f>
        <v xml:space="preserve"> </v>
      </c>
      <c r="E141" s="26" t="str">
        <f>IF('E-Barrows'!A141&lt;'Adj-Barrows'!$B$10,'E-Barrows'!D141," ")</f>
        <v xml:space="preserve"> </v>
      </c>
      <c r="F141" s="26"/>
      <c r="G141" s="216" t="str">
        <f t="shared" si="9"/>
        <v xml:space="preserve"> </v>
      </c>
      <c r="H141" s="27" t="str">
        <f>IF('E-Barrows'!A141&lt;'Adj-Barrows'!$B$10,'E-Barrows'!I141," ")</f>
        <v xml:space="preserve"> </v>
      </c>
      <c r="I141" s="217" t="str">
        <f>IF('E-Barrows'!A141&lt;'Adj-Barrows'!$B$10,'E-Barrows'!A141," ")</f>
        <v xml:space="preserve"> </v>
      </c>
      <c r="J141" s="25" t="str">
        <f>IF('E-Barrows'!A141&lt;'Adj-Barrows'!$B$10,'E-Barrows'!J141," ")</f>
        <v xml:space="preserve"> </v>
      </c>
      <c r="K141" s="27" t="str">
        <f>IF('E-Barrows'!A141&lt;'Adj-Barrows'!$B$10,'E-Barrows'!N141," ")</f>
        <v xml:space="preserve"> </v>
      </c>
      <c r="L141" s="26" t="str">
        <f>IF('E-Barrows'!A141&lt;'Adj-Barrows'!$B$10,'E-Barrows'!K141," ")</f>
        <v xml:space="preserve"> </v>
      </c>
      <c r="M141" s="27" t="str">
        <f>IF('E-Barrows'!A141&lt;'Adj-Barrows'!$B$10,'E-Barrows'!M141," ")</f>
        <v xml:space="preserve"> </v>
      </c>
      <c r="N141" s="29" t="str">
        <f>IF('E-Barrows'!A141&lt;'Adj-Barrows'!$B$10,1/L141," ")</f>
        <v xml:space="preserve"> </v>
      </c>
      <c r="P141" s="30" t="str">
        <f t="shared" si="10"/>
        <v/>
      </c>
      <c r="Q141" s="30" t="str">
        <f t="shared" si="11"/>
        <v/>
      </c>
      <c r="R141" s="30" t="str">
        <f t="shared" si="12"/>
        <v/>
      </c>
    </row>
    <row r="142" spans="1:18" x14ac:dyDescent="0.25">
      <c r="A142" s="27" t="str">
        <f>IF('E-Barrows'!A142&lt;'Adj-Barrows'!$B$10,'E-Barrows'!B142," ")</f>
        <v xml:space="preserve"> </v>
      </c>
      <c r="B142" s="25" t="str">
        <f>IF('E-Barrows'!A142&lt;'Adj-Barrows'!$B$10,'E-Barrows'!A142," ")</f>
        <v xml:space="preserve"> </v>
      </c>
      <c r="C142" s="25" t="str">
        <f>IF('E-Barrows'!A142&lt;'Adj-Barrows'!$B$10,'E-Barrows'!C142," ")</f>
        <v xml:space="preserve"> </v>
      </c>
      <c r="D142" s="27" t="str">
        <f>IF('E-Barrows'!A142&lt;'Adj-Barrows'!$B$10,'E-Barrows'!G142," ")</f>
        <v xml:space="preserve"> </v>
      </c>
      <c r="E142" s="26" t="str">
        <f>IF('E-Barrows'!A142&lt;'Adj-Barrows'!$B$10,'E-Barrows'!D142," ")</f>
        <v xml:space="preserve"> </v>
      </c>
      <c r="F142" s="26"/>
      <c r="G142" s="216" t="str">
        <f t="shared" si="9"/>
        <v xml:space="preserve"> </v>
      </c>
      <c r="H142" s="27" t="str">
        <f>IF('E-Barrows'!A142&lt;'Adj-Barrows'!$B$10,'E-Barrows'!I142," ")</f>
        <v xml:space="preserve"> </v>
      </c>
      <c r="I142" s="217" t="str">
        <f>IF('E-Barrows'!A142&lt;'Adj-Barrows'!$B$10,'E-Barrows'!A142," ")</f>
        <v xml:space="preserve"> </v>
      </c>
      <c r="J142" s="25" t="str">
        <f>IF('E-Barrows'!A142&lt;'Adj-Barrows'!$B$10,'E-Barrows'!J142," ")</f>
        <v xml:space="preserve"> </v>
      </c>
      <c r="K142" s="27" t="str">
        <f>IF('E-Barrows'!A142&lt;'Adj-Barrows'!$B$10,'E-Barrows'!N142," ")</f>
        <v xml:space="preserve"> </v>
      </c>
      <c r="L142" s="26" t="str">
        <f>IF('E-Barrows'!A142&lt;'Adj-Barrows'!$B$10,'E-Barrows'!K142," ")</f>
        <v xml:space="preserve"> </v>
      </c>
      <c r="M142" s="27" t="str">
        <f>IF('E-Barrows'!A142&lt;'Adj-Barrows'!$B$10,'E-Barrows'!M142," ")</f>
        <v xml:space="preserve"> </v>
      </c>
      <c r="N142" s="29" t="str">
        <f>IF('E-Barrows'!A142&lt;'Adj-Barrows'!$B$10,1/L142," ")</f>
        <v xml:space="preserve"> </v>
      </c>
      <c r="P142" s="30" t="str">
        <f t="shared" si="10"/>
        <v/>
      </c>
      <c r="Q142" s="30" t="str">
        <f t="shared" si="11"/>
        <v/>
      </c>
      <c r="R142" s="30" t="str">
        <f t="shared" si="12"/>
        <v/>
      </c>
    </row>
    <row r="143" spans="1:18" x14ac:dyDescent="0.25">
      <c r="A143" s="27" t="str">
        <f>IF('E-Barrows'!A143&lt;'Adj-Barrows'!$B$10,'E-Barrows'!B143," ")</f>
        <v xml:space="preserve"> </v>
      </c>
      <c r="B143" s="25" t="str">
        <f>IF('E-Barrows'!A143&lt;'Adj-Barrows'!$B$10,'E-Barrows'!A143," ")</f>
        <v xml:space="preserve"> </v>
      </c>
      <c r="C143" s="25" t="str">
        <f>IF('E-Barrows'!A143&lt;'Adj-Barrows'!$B$10,'E-Barrows'!C143," ")</f>
        <v xml:space="preserve"> </v>
      </c>
      <c r="D143" s="27" t="str">
        <f>IF('E-Barrows'!A143&lt;'Adj-Barrows'!$B$10,'E-Barrows'!G143," ")</f>
        <v xml:space="preserve"> </v>
      </c>
      <c r="E143" s="26" t="str">
        <f>IF('E-Barrows'!A143&lt;'Adj-Barrows'!$B$10,'E-Barrows'!D143," ")</f>
        <v xml:space="preserve"> </v>
      </c>
      <c r="F143" s="26"/>
      <c r="G143" s="216" t="str">
        <f t="shared" si="9"/>
        <v xml:space="preserve"> </v>
      </c>
      <c r="H143" s="27" t="str">
        <f>IF('E-Barrows'!A143&lt;'Adj-Barrows'!$B$10,'E-Barrows'!I143," ")</f>
        <v xml:space="preserve"> </v>
      </c>
      <c r="I143" s="217" t="str">
        <f>IF('E-Barrows'!A143&lt;'Adj-Barrows'!$B$10,'E-Barrows'!A143," ")</f>
        <v xml:space="preserve"> </v>
      </c>
      <c r="J143" s="25" t="str">
        <f>IF('E-Barrows'!A143&lt;'Adj-Barrows'!$B$10,'E-Barrows'!J143," ")</f>
        <v xml:space="preserve"> </v>
      </c>
      <c r="K143" s="27" t="str">
        <f>IF('E-Barrows'!A143&lt;'Adj-Barrows'!$B$10,'E-Barrows'!N143," ")</f>
        <v xml:space="preserve"> </v>
      </c>
      <c r="L143" s="26" t="str">
        <f>IF('E-Barrows'!A143&lt;'Adj-Barrows'!$B$10,'E-Barrows'!K143," ")</f>
        <v xml:space="preserve"> </v>
      </c>
      <c r="M143" s="27" t="str">
        <f>IF('E-Barrows'!A143&lt;'Adj-Barrows'!$B$10,'E-Barrows'!M143," ")</f>
        <v xml:space="preserve"> </v>
      </c>
      <c r="N143" s="29" t="str">
        <f>IF('E-Barrows'!A143&lt;'Adj-Barrows'!$B$10,1/L143," ")</f>
        <v xml:space="preserve"> </v>
      </c>
      <c r="P143" s="30" t="str">
        <f t="shared" si="10"/>
        <v/>
      </c>
      <c r="Q143" s="30" t="str">
        <f t="shared" si="11"/>
        <v/>
      </c>
      <c r="R143" s="30" t="str">
        <f t="shared" si="12"/>
        <v/>
      </c>
    </row>
    <row r="144" spans="1:18" x14ac:dyDescent="0.25">
      <c r="A144" s="27" t="str">
        <f>IF('E-Barrows'!A144&lt;'Adj-Barrows'!$B$10,'E-Barrows'!B144," ")</f>
        <v xml:space="preserve"> </v>
      </c>
      <c r="B144" s="25" t="str">
        <f>IF('E-Barrows'!A144&lt;'Adj-Barrows'!$B$10,'E-Barrows'!A144," ")</f>
        <v xml:space="preserve"> </v>
      </c>
      <c r="C144" s="25" t="str">
        <f>IF('E-Barrows'!A144&lt;'Adj-Barrows'!$B$10,'E-Barrows'!C144," ")</f>
        <v xml:space="preserve"> </v>
      </c>
      <c r="D144" s="27" t="str">
        <f>IF('E-Barrows'!A144&lt;'Adj-Barrows'!$B$10,'E-Barrows'!G144," ")</f>
        <v xml:space="preserve"> </v>
      </c>
      <c r="E144" s="26" t="str">
        <f>IF('E-Barrows'!A144&lt;'Adj-Barrows'!$B$10,'E-Barrows'!D144," ")</f>
        <v xml:space="preserve"> </v>
      </c>
      <c r="F144" s="26"/>
      <c r="G144" s="216" t="str">
        <f t="shared" si="9"/>
        <v xml:space="preserve"> </v>
      </c>
      <c r="H144" s="27" t="str">
        <f>IF('E-Barrows'!A144&lt;'Adj-Barrows'!$B$10,'E-Barrows'!I144," ")</f>
        <v xml:space="preserve"> </v>
      </c>
      <c r="I144" s="217" t="str">
        <f>IF('E-Barrows'!A144&lt;'Adj-Barrows'!$B$10,'E-Barrows'!A144," ")</f>
        <v xml:space="preserve"> </v>
      </c>
      <c r="J144" s="25" t="str">
        <f>IF('E-Barrows'!A144&lt;'Adj-Barrows'!$B$10,'E-Barrows'!J144," ")</f>
        <v xml:space="preserve"> </v>
      </c>
      <c r="K144" s="27" t="str">
        <f>IF('E-Barrows'!A144&lt;'Adj-Barrows'!$B$10,'E-Barrows'!N144," ")</f>
        <v xml:space="preserve"> </v>
      </c>
      <c r="L144" s="26" t="str">
        <f>IF('E-Barrows'!A144&lt;'Adj-Barrows'!$B$10,'E-Barrows'!K144," ")</f>
        <v xml:space="preserve"> </v>
      </c>
      <c r="M144" s="27" t="str">
        <f>IF('E-Barrows'!A144&lt;'Adj-Barrows'!$B$10,'E-Barrows'!M144," ")</f>
        <v xml:space="preserve"> </v>
      </c>
      <c r="N144" s="29" t="str">
        <f>IF('E-Barrows'!A144&lt;'Adj-Barrows'!$B$10,1/L144," ")</f>
        <v xml:space="preserve"> </v>
      </c>
      <c r="P144" s="30" t="str">
        <f t="shared" si="10"/>
        <v/>
      </c>
      <c r="Q144" s="30" t="str">
        <f t="shared" si="11"/>
        <v/>
      </c>
      <c r="R144" s="30" t="str">
        <f t="shared" si="12"/>
        <v/>
      </c>
    </row>
    <row r="145" spans="1:18" x14ac:dyDescent="0.25">
      <c r="A145" s="27" t="str">
        <f>IF('E-Barrows'!A145&lt;'Adj-Barrows'!$B$10,'E-Barrows'!B145," ")</f>
        <v xml:space="preserve"> </v>
      </c>
      <c r="B145" s="25" t="str">
        <f>IF('E-Barrows'!A145&lt;'Adj-Barrows'!$B$10,'E-Barrows'!A145," ")</f>
        <v xml:space="preserve"> </v>
      </c>
      <c r="C145" s="25" t="str">
        <f>IF('E-Barrows'!A145&lt;'Adj-Barrows'!$B$10,'E-Barrows'!C145," ")</f>
        <v xml:space="preserve"> </v>
      </c>
      <c r="D145" s="27" t="str">
        <f>IF('E-Barrows'!A145&lt;'Adj-Barrows'!$B$10,'E-Barrows'!G145," ")</f>
        <v xml:space="preserve"> </v>
      </c>
      <c r="E145" s="26" t="str">
        <f>IF('E-Barrows'!A145&lt;'Adj-Barrows'!$B$10,'E-Barrows'!D145," ")</f>
        <v xml:space="preserve"> </v>
      </c>
      <c r="F145" s="26"/>
      <c r="G145" s="216" t="str">
        <f t="shared" si="9"/>
        <v xml:space="preserve"> </v>
      </c>
      <c r="H145" s="27" t="str">
        <f>IF('E-Barrows'!A145&lt;'Adj-Barrows'!$B$10,'E-Barrows'!I145," ")</f>
        <v xml:space="preserve"> </v>
      </c>
      <c r="I145" s="217" t="str">
        <f>IF('E-Barrows'!A145&lt;'Adj-Barrows'!$B$10,'E-Barrows'!A145," ")</f>
        <v xml:space="preserve"> </v>
      </c>
      <c r="J145" s="25" t="str">
        <f>IF('E-Barrows'!A145&lt;'Adj-Barrows'!$B$10,'E-Barrows'!J145," ")</f>
        <v xml:space="preserve"> </v>
      </c>
      <c r="K145" s="27" t="str">
        <f>IF('E-Barrows'!A145&lt;'Adj-Barrows'!$B$10,'E-Barrows'!N145," ")</f>
        <v xml:space="preserve"> </v>
      </c>
      <c r="L145" s="26" t="str">
        <f>IF('E-Barrows'!A145&lt;'Adj-Barrows'!$B$10,'E-Barrows'!K145," ")</f>
        <v xml:space="preserve"> </v>
      </c>
      <c r="M145" s="27" t="str">
        <f>IF('E-Barrows'!A145&lt;'Adj-Barrows'!$B$10,'E-Barrows'!M145," ")</f>
        <v xml:space="preserve"> </v>
      </c>
      <c r="N145" s="29" t="str">
        <f>IF('E-Barrows'!A145&lt;'Adj-Barrows'!$B$10,1/L145," ")</f>
        <v xml:space="preserve"> </v>
      </c>
      <c r="P145" s="30" t="str">
        <f t="shared" si="10"/>
        <v/>
      </c>
      <c r="Q145" s="30" t="str">
        <f t="shared" si="11"/>
        <v/>
      </c>
      <c r="R145" s="30" t="str">
        <f t="shared" si="12"/>
        <v/>
      </c>
    </row>
    <row r="146" spans="1:18" x14ac:dyDescent="0.25">
      <c r="A146" s="27" t="str">
        <f>IF('E-Barrows'!A146&lt;'Adj-Barrows'!$B$10,'E-Barrows'!B146," ")</f>
        <v xml:space="preserve"> </v>
      </c>
      <c r="B146" s="25" t="str">
        <f>IF('E-Barrows'!A146&lt;'Adj-Barrows'!$B$10,'E-Barrows'!A146," ")</f>
        <v xml:space="preserve"> </v>
      </c>
      <c r="C146" s="25" t="str">
        <f>IF('E-Barrows'!A146&lt;'Adj-Barrows'!$B$10,'E-Barrows'!C146," ")</f>
        <v xml:space="preserve"> </v>
      </c>
      <c r="D146" s="27" t="str">
        <f>IF('E-Barrows'!A146&lt;'Adj-Barrows'!$B$10,'E-Barrows'!G146," ")</f>
        <v xml:space="preserve"> </v>
      </c>
      <c r="E146" s="26" t="str">
        <f>IF('E-Barrows'!A146&lt;'Adj-Barrows'!$B$10,'E-Barrows'!D146," ")</f>
        <v xml:space="preserve"> </v>
      </c>
      <c r="F146" s="26"/>
      <c r="G146" s="216" t="str">
        <f t="shared" si="9"/>
        <v xml:space="preserve"> </v>
      </c>
      <c r="H146" s="27" t="str">
        <f>IF('E-Barrows'!A146&lt;'Adj-Barrows'!$B$10,'E-Barrows'!I146," ")</f>
        <v xml:space="preserve"> </v>
      </c>
      <c r="I146" s="217" t="str">
        <f>IF('E-Barrows'!A146&lt;'Adj-Barrows'!$B$10,'E-Barrows'!A146," ")</f>
        <v xml:space="preserve"> </v>
      </c>
      <c r="J146" s="25" t="str">
        <f>IF('E-Barrows'!A146&lt;'Adj-Barrows'!$B$10,'E-Barrows'!J146," ")</f>
        <v xml:space="preserve"> </v>
      </c>
      <c r="K146" s="27" t="str">
        <f>IF('E-Barrows'!A146&lt;'Adj-Barrows'!$B$10,'E-Barrows'!N146," ")</f>
        <v xml:space="preserve"> </v>
      </c>
      <c r="L146" s="26" t="str">
        <f>IF('E-Barrows'!A146&lt;'Adj-Barrows'!$B$10,'E-Barrows'!K146," ")</f>
        <v xml:space="preserve"> </v>
      </c>
      <c r="M146" s="27" t="str">
        <f>IF('E-Barrows'!A146&lt;'Adj-Barrows'!$B$10,'E-Barrows'!M146," ")</f>
        <v xml:space="preserve"> </v>
      </c>
      <c r="N146" s="29" t="str">
        <f>IF('E-Barrows'!A146&lt;'Adj-Barrows'!$B$10,1/L146," ")</f>
        <v xml:space="preserve"> </v>
      </c>
      <c r="P146" s="30" t="str">
        <f t="shared" si="10"/>
        <v/>
      </c>
      <c r="Q146" s="30" t="str">
        <f t="shared" si="11"/>
        <v/>
      </c>
      <c r="R146" s="30" t="str">
        <f t="shared" si="12"/>
        <v/>
      </c>
    </row>
    <row r="147" spans="1:18" x14ac:dyDescent="0.25">
      <c r="A147" s="27" t="str">
        <f>IF('E-Barrows'!A147&lt;'Adj-Barrows'!$B$10,'E-Barrows'!B147," ")</f>
        <v xml:space="preserve"> </v>
      </c>
      <c r="B147" s="25" t="str">
        <f>IF('E-Barrows'!A147&lt;'Adj-Barrows'!$B$10,'E-Barrows'!A147," ")</f>
        <v xml:space="preserve"> </v>
      </c>
      <c r="C147" s="25" t="str">
        <f>IF('E-Barrows'!A147&lt;'Adj-Barrows'!$B$10,'E-Barrows'!C147," ")</f>
        <v xml:space="preserve"> </v>
      </c>
      <c r="D147" s="27" t="str">
        <f>IF('E-Barrows'!A147&lt;'Adj-Barrows'!$B$10,'E-Barrows'!G147," ")</f>
        <v xml:space="preserve"> </v>
      </c>
      <c r="E147" s="26" t="str">
        <f>IF('E-Barrows'!A147&lt;'Adj-Barrows'!$B$10,'E-Barrows'!D147," ")</f>
        <v xml:space="preserve"> </v>
      </c>
      <c r="F147" s="26"/>
      <c r="G147" s="216" t="str">
        <f t="shared" si="9"/>
        <v xml:space="preserve"> </v>
      </c>
      <c r="H147" s="27" t="str">
        <f>IF('E-Barrows'!A147&lt;'Adj-Barrows'!$B$10,'E-Barrows'!I147," ")</f>
        <v xml:space="preserve"> </v>
      </c>
      <c r="I147" s="217" t="str">
        <f>IF('E-Barrows'!A147&lt;'Adj-Barrows'!$B$10,'E-Barrows'!A147," ")</f>
        <v xml:space="preserve"> </v>
      </c>
      <c r="J147" s="25" t="str">
        <f>IF('E-Barrows'!A147&lt;'Adj-Barrows'!$B$10,'E-Barrows'!J147," ")</f>
        <v xml:space="preserve"> </v>
      </c>
      <c r="K147" s="27" t="str">
        <f>IF('E-Barrows'!A147&lt;'Adj-Barrows'!$B$10,'E-Barrows'!N147," ")</f>
        <v xml:space="preserve"> </v>
      </c>
      <c r="L147" s="26" t="str">
        <f>IF('E-Barrows'!A147&lt;'Adj-Barrows'!$B$10,'E-Barrows'!K147," ")</f>
        <v xml:space="preserve"> </v>
      </c>
      <c r="M147" s="27" t="str">
        <f>IF('E-Barrows'!A147&lt;'Adj-Barrows'!$B$10,'E-Barrows'!M147," ")</f>
        <v xml:space="preserve"> </v>
      </c>
      <c r="N147" s="29" t="str">
        <f>IF('E-Barrows'!A147&lt;'Adj-Barrows'!$B$10,1/L147," ")</f>
        <v xml:space="preserve"> </v>
      </c>
      <c r="P147" s="30" t="str">
        <f t="shared" si="10"/>
        <v/>
      </c>
      <c r="Q147" s="30" t="str">
        <f t="shared" si="11"/>
        <v/>
      </c>
      <c r="R147" s="30" t="str">
        <f t="shared" si="12"/>
        <v/>
      </c>
    </row>
    <row r="148" spans="1:18" x14ac:dyDescent="0.25">
      <c r="A148" s="27" t="str">
        <f>IF('E-Barrows'!A148&lt;'Adj-Barrows'!$B$10,'E-Barrows'!B148," ")</f>
        <v xml:space="preserve"> </v>
      </c>
      <c r="B148" s="25" t="str">
        <f>IF('E-Barrows'!A148&lt;'Adj-Barrows'!$B$10,'E-Barrows'!A148," ")</f>
        <v xml:space="preserve"> </v>
      </c>
      <c r="C148" s="25" t="str">
        <f>IF('E-Barrows'!A148&lt;'Adj-Barrows'!$B$10,'E-Barrows'!C148," ")</f>
        <v xml:space="preserve"> </v>
      </c>
      <c r="D148" s="27" t="str">
        <f>IF('E-Barrows'!A148&lt;'Adj-Barrows'!$B$10,'E-Barrows'!G148," ")</f>
        <v xml:space="preserve"> </v>
      </c>
      <c r="E148" s="26" t="str">
        <f>IF('E-Barrows'!A148&lt;'Adj-Barrows'!$B$10,'E-Barrows'!D148," ")</f>
        <v xml:space="preserve"> </v>
      </c>
      <c r="F148" s="26"/>
      <c r="G148" s="216" t="str">
        <f t="shared" si="9"/>
        <v xml:space="preserve"> </v>
      </c>
      <c r="H148" s="27" t="str">
        <f>IF('E-Barrows'!A148&lt;'Adj-Barrows'!$B$10,'E-Barrows'!I148," ")</f>
        <v xml:space="preserve"> </v>
      </c>
      <c r="I148" s="217" t="str">
        <f>IF('E-Barrows'!A148&lt;'Adj-Barrows'!$B$10,'E-Barrows'!A148," ")</f>
        <v xml:space="preserve"> </v>
      </c>
      <c r="J148" s="25" t="str">
        <f>IF('E-Barrows'!A148&lt;'Adj-Barrows'!$B$10,'E-Barrows'!J148," ")</f>
        <v xml:space="preserve"> </v>
      </c>
      <c r="K148" s="27" t="str">
        <f>IF('E-Barrows'!A148&lt;'Adj-Barrows'!$B$10,'E-Barrows'!N148," ")</f>
        <v xml:space="preserve"> </v>
      </c>
      <c r="L148" s="26" t="str">
        <f>IF('E-Barrows'!A148&lt;'Adj-Barrows'!$B$10,'E-Barrows'!K148," ")</f>
        <v xml:space="preserve"> </v>
      </c>
      <c r="M148" s="27" t="str">
        <f>IF('E-Barrows'!A148&lt;'Adj-Barrows'!$B$10,'E-Barrows'!M148," ")</f>
        <v xml:space="preserve"> </v>
      </c>
      <c r="N148" s="29" t="str">
        <f>IF('E-Barrows'!A148&lt;'Adj-Barrows'!$B$10,1/L148," ")</f>
        <v xml:space="preserve"> </v>
      </c>
      <c r="P148" s="30" t="str">
        <f t="shared" si="10"/>
        <v/>
      </c>
      <c r="Q148" s="30" t="str">
        <f t="shared" si="11"/>
        <v/>
      </c>
      <c r="R148" s="30" t="str">
        <f t="shared" si="12"/>
        <v/>
      </c>
    </row>
    <row r="149" spans="1:18" x14ac:dyDescent="0.25">
      <c r="A149" s="27" t="str">
        <f>IF('E-Barrows'!A149&lt;'Adj-Barrows'!$B$10,'E-Barrows'!B149," ")</f>
        <v xml:space="preserve"> </v>
      </c>
      <c r="B149" s="25" t="str">
        <f>IF('E-Barrows'!A149&lt;'Adj-Barrows'!$B$10,'E-Barrows'!A149," ")</f>
        <v xml:space="preserve"> </v>
      </c>
      <c r="C149" s="25" t="str">
        <f>IF('E-Barrows'!A149&lt;'Adj-Barrows'!$B$10,'E-Barrows'!C149," ")</f>
        <v xml:space="preserve"> </v>
      </c>
      <c r="D149" s="27" t="str">
        <f>IF('E-Barrows'!A149&lt;'Adj-Barrows'!$B$10,'E-Barrows'!G149," ")</f>
        <v xml:space="preserve"> </v>
      </c>
      <c r="E149" s="26" t="str">
        <f>IF('E-Barrows'!A149&lt;'Adj-Barrows'!$B$10,'E-Barrows'!D149," ")</f>
        <v xml:space="preserve"> </v>
      </c>
      <c r="F149" s="26"/>
      <c r="G149" s="216" t="str">
        <f t="shared" si="9"/>
        <v xml:space="preserve"> </v>
      </c>
      <c r="H149" s="27" t="str">
        <f>IF('E-Barrows'!A149&lt;'Adj-Barrows'!$B$10,'E-Barrows'!I149," ")</f>
        <v xml:space="preserve"> </v>
      </c>
      <c r="I149" s="217" t="str">
        <f>IF('E-Barrows'!A149&lt;'Adj-Barrows'!$B$10,'E-Barrows'!A149," ")</f>
        <v xml:space="preserve"> </v>
      </c>
      <c r="J149" s="25" t="str">
        <f>IF('E-Barrows'!A149&lt;'Adj-Barrows'!$B$10,'E-Barrows'!J149," ")</f>
        <v xml:space="preserve"> </v>
      </c>
      <c r="K149" s="27" t="str">
        <f>IF('E-Barrows'!A149&lt;'Adj-Barrows'!$B$10,'E-Barrows'!N149," ")</f>
        <v xml:space="preserve"> </v>
      </c>
      <c r="L149" s="26" t="str">
        <f>IF('E-Barrows'!A149&lt;'Adj-Barrows'!$B$10,'E-Barrows'!K149," ")</f>
        <v xml:space="preserve"> </v>
      </c>
      <c r="M149" s="27" t="str">
        <f>IF('E-Barrows'!A149&lt;'Adj-Barrows'!$B$10,'E-Barrows'!M149," ")</f>
        <v xml:space="preserve"> </v>
      </c>
      <c r="N149" s="29" t="str">
        <f>IF('E-Barrows'!A149&lt;'Adj-Barrows'!$B$10,1/L149," ")</f>
        <v xml:space="preserve"> </v>
      </c>
      <c r="P149" s="30" t="str">
        <f t="shared" si="10"/>
        <v/>
      </c>
      <c r="Q149" s="30" t="str">
        <f t="shared" si="11"/>
        <v/>
      </c>
      <c r="R149" s="30" t="str">
        <f t="shared" si="12"/>
        <v/>
      </c>
    </row>
    <row r="150" spans="1:18" x14ac:dyDescent="0.25">
      <c r="A150" s="27" t="str">
        <f>IF('E-Barrows'!A150&lt;'Adj-Barrows'!$B$10,'E-Barrows'!B150," ")</f>
        <v xml:space="preserve"> </v>
      </c>
      <c r="B150" s="25" t="str">
        <f>IF('E-Barrows'!A150&lt;'Adj-Barrows'!$B$10,'E-Barrows'!A150," ")</f>
        <v xml:space="preserve"> </v>
      </c>
      <c r="C150" s="25" t="str">
        <f>IF('E-Barrows'!A150&lt;'Adj-Barrows'!$B$10,'E-Barrows'!C150," ")</f>
        <v xml:space="preserve"> </v>
      </c>
      <c r="D150" s="27" t="str">
        <f>IF('E-Barrows'!A150&lt;'Adj-Barrows'!$B$10,'E-Barrows'!G150," ")</f>
        <v xml:space="preserve"> </v>
      </c>
      <c r="E150" s="26" t="str">
        <f>IF('E-Barrows'!A150&lt;'Adj-Barrows'!$B$10,'E-Barrows'!D150," ")</f>
        <v xml:space="preserve"> </v>
      </c>
      <c r="F150" s="26"/>
      <c r="G150" s="216" t="str">
        <f t="shared" si="9"/>
        <v xml:space="preserve"> </v>
      </c>
      <c r="H150" s="27" t="str">
        <f>IF('E-Barrows'!A150&lt;'Adj-Barrows'!$B$10,'E-Barrows'!I150," ")</f>
        <v xml:space="preserve"> </v>
      </c>
      <c r="I150" s="217" t="str">
        <f>IF('E-Barrows'!A150&lt;'Adj-Barrows'!$B$10,'E-Barrows'!A150," ")</f>
        <v xml:space="preserve"> </v>
      </c>
      <c r="J150" s="25" t="str">
        <f>IF('E-Barrows'!A150&lt;'Adj-Barrows'!$B$10,'E-Barrows'!J150," ")</f>
        <v xml:space="preserve"> </v>
      </c>
      <c r="K150" s="27" t="str">
        <f>IF('E-Barrows'!A150&lt;'Adj-Barrows'!$B$10,'E-Barrows'!N150," ")</f>
        <v xml:space="preserve"> </v>
      </c>
      <c r="L150" s="26" t="str">
        <f>IF('E-Barrows'!A150&lt;'Adj-Barrows'!$B$10,'E-Barrows'!K150," ")</f>
        <v xml:space="preserve"> </v>
      </c>
      <c r="M150" s="27" t="str">
        <f>IF('E-Barrows'!A150&lt;'Adj-Barrows'!$B$10,'E-Barrows'!M150," ")</f>
        <v xml:space="preserve"> </v>
      </c>
      <c r="N150" s="29" t="str">
        <f>IF('E-Barrows'!A150&lt;'Adj-Barrows'!$B$10,1/L150," ")</f>
        <v xml:space="preserve"> </v>
      </c>
      <c r="P150" s="30" t="str">
        <f t="shared" si="10"/>
        <v/>
      </c>
      <c r="Q150" s="30" t="str">
        <f t="shared" si="11"/>
        <v/>
      </c>
      <c r="R150" s="30" t="str">
        <f t="shared" si="12"/>
        <v/>
      </c>
    </row>
    <row r="151" spans="1:18" x14ac:dyDescent="0.25">
      <c r="A151" s="27" t="str">
        <f>IF('E-Barrows'!A151&lt;'Adj-Barrows'!$B$10,'E-Barrows'!B151," ")</f>
        <v xml:space="preserve"> </v>
      </c>
      <c r="B151" s="25" t="str">
        <f>IF('E-Barrows'!A151&lt;'Adj-Barrows'!$B$10,'E-Barrows'!A151," ")</f>
        <v xml:space="preserve"> </v>
      </c>
      <c r="C151" s="25" t="str">
        <f>IF('E-Barrows'!A151&lt;'Adj-Barrows'!$B$10,'E-Barrows'!C151," ")</f>
        <v xml:space="preserve"> </v>
      </c>
      <c r="D151" s="27" t="str">
        <f>IF('E-Barrows'!A151&lt;'Adj-Barrows'!$B$10,'E-Barrows'!G151," ")</f>
        <v xml:space="preserve"> </v>
      </c>
      <c r="E151" s="26" t="str">
        <f>IF('E-Barrows'!A151&lt;'Adj-Barrows'!$B$10,'E-Barrows'!D151," ")</f>
        <v xml:space="preserve"> </v>
      </c>
      <c r="F151" s="26"/>
      <c r="G151" s="216" t="str">
        <f t="shared" si="9"/>
        <v xml:space="preserve"> </v>
      </c>
      <c r="H151" s="27" t="str">
        <f>IF('E-Barrows'!A151&lt;'Adj-Barrows'!$B$10,'E-Barrows'!I151," ")</f>
        <v xml:space="preserve"> </v>
      </c>
      <c r="I151" s="217" t="str">
        <f>IF('E-Barrows'!A151&lt;'Adj-Barrows'!$B$10,'E-Barrows'!A151," ")</f>
        <v xml:space="preserve"> </v>
      </c>
      <c r="J151" s="25" t="str">
        <f>IF('E-Barrows'!A151&lt;'Adj-Barrows'!$B$10,'E-Barrows'!J151," ")</f>
        <v xml:space="preserve"> </v>
      </c>
      <c r="K151" s="27" t="str">
        <f>IF('E-Barrows'!A151&lt;'Adj-Barrows'!$B$10,'E-Barrows'!N151," ")</f>
        <v xml:space="preserve"> </v>
      </c>
      <c r="L151" s="26" t="str">
        <f>IF('E-Barrows'!A151&lt;'Adj-Barrows'!$B$10,'E-Barrows'!K151," ")</f>
        <v xml:space="preserve"> </v>
      </c>
      <c r="M151" s="27" t="str">
        <f>IF('E-Barrows'!A151&lt;'Adj-Barrows'!$B$10,'E-Barrows'!M151," ")</f>
        <v xml:space="preserve"> </v>
      </c>
      <c r="N151" s="29" t="str">
        <f>IF('E-Barrows'!A151&lt;'Adj-Barrows'!$B$10,1/L151," ")</f>
        <v xml:space="preserve"> </v>
      </c>
      <c r="P151" s="30" t="str">
        <f t="shared" si="10"/>
        <v/>
      </c>
      <c r="Q151" s="30" t="str">
        <f t="shared" si="11"/>
        <v/>
      </c>
      <c r="R151" s="30" t="str">
        <f t="shared" si="12"/>
        <v/>
      </c>
    </row>
    <row r="152" spans="1:18" x14ac:dyDescent="0.25">
      <c r="A152" s="27" t="str">
        <f>IF('E-Barrows'!A152&lt;'Adj-Barrows'!$B$10,'E-Barrows'!B152," ")</f>
        <v xml:space="preserve"> </v>
      </c>
      <c r="B152" s="25" t="str">
        <f>IF('E-Barrows'!A152&lt;'Adj-Barrows'!$B$10,'E-Barrows'!A152," ")</f>
        <v xml:space="preserve"> </v>
      </c>
      <c r="C152" s="25" t="str">
        <f>IF('E-Barrows'!A152&lt;'Adj-Barrows'!$B$10,'E-Barrows'!C152," ")</f>
        <v xml:space="preserve"> </v>
      </c>
      <c r="D152" s="27" t="str">
        <f>IF('E-Barrows'!A152&lt;'Adj-Barrows'!$B$10,'E-Barrows'!G152," ")</f>
        <v xml:space="preserve"> </v>
      </c>
      <c r="E152" s="26" t="str">
        <f>IF('E-Barrows'!A152&lt;'Adj-Barrows'!$B$10,'E-Barrows'!D152," ")</f>
        <v xml:space="preserve"> </v>
      </c>
      <c r="F152" s="26"/>
      <c r="G152" s="216" t="str">
        <f t="shared" si="9"/>
        <v xml:space="preserve"> </v>
      </c>
      <c r="H152" s="27" t="str">
        <f>IF('E-Barrows'!A152&lt;'Adj-Barrows'!$B$10,'E-Barrows'!I152," ")</f>
        <v xml:space="preserve"> </v>
      </c>
      <c r="I152" s="217" t="str">
        <f>IF('E-Barrows'!A152&lt;'Adj-Barrows'!$B$10,'E-Barrows'!A152," ")</f>
        <v xml:space="preserve"> </v>
      </c>
      <c r="J152" s="25" t="str">
        <f>IF('E-Barrows'!A152&lt;'Adj-Barrows'!$B$10,'E-Barrows'!J152," ")</f>
        <v xml:space="preserve"> </v>
      </c>
      <c r="K152" s="27" t="str">
        <f>IF('E-Barrows'!A152&lt;'Adj-Barrows'!$B$10,'E-Barrows'!N152," ")</f>
        <v xml:space="preserve"> </v>
      </c>
      <c r="L152" s="26" t="str">
        <f>IF('E-Barrows'!A152&lt;'Adj-Barrows'!$B$10,'E-Barrows'!K152," ")</f>
        <v xml:space="preserve"> </v>
      </c>
      <c r="M152" s="27" t="str">
        <f>IF('E-Barrows'!A152&lt;'Adj-Barrows'!$B$10,'E-Barrows'!M152," ")</f>
        <v xml:space="preserve"> </v>
      </c>
      <c r="N152" s="29" t="str">
        <f>IF('E-Barrows'!A152&lt;'Adj-Barrows'!$B$10,1/L152," ")</f>
        <v xml:space="preserve"> </v>
      </c>
      <c r="P152" s="30" t="str">
        <f t="shared" si="10"/>
        <v/>
      </c>
      <c r="Q152" s="30" t="str">
        <f t="shared" si="11"/>
        <v/>
      </c>
      <c r="R152" s="30" t="str">
        <f t="shared" si="12"/>
        <v/>
      </c>
    </row>
    <row r="153" spans="1:18" x14ac:dyDescent="0.25">
      <c r="A153" s="27" t="str">
        <f>IF('E-Barrows'!A153&lt;'Adj-Barrows'!$B$10,'E-Barrows'!B153," ")</f>
        <v xml:space="preserve"> </v>
      </c>
      <c r="B153" s="25" t="str">
        <f>IF('E-Barrows'!A153&lt;'Adj-Barrows'!$B$10,'E-Barrows'!A153," ")</f>
        <v xml:space="preserve"> </v>
      </c>
      <c r="C153" s="25" t="str">
        <f>IF('E-Barrows'!A153&lt;'Adj-Barrows'!$B$10,'E-Barrows'!C153," ")</f>
        <v xml:space="preserve"> </v>
      </c>
      <c r="D153" s="27" t="str">
        <f>IF('E-Barrows'!A153&lt;'Adj-Barrows'!$B$10,'E-Barrows'!G153," ")</f>
        <v xml:space="preserve"> </v>
      </c>
      <c r="E153" s="26" t="str">
        <f>IF('E-Barrows'!A153&lt;'Adj-Barrows'!$B$10,'E-Barrows'!D153," ")</f>
        <v xml:space="preserve"> </v>
      </c>
      <c r="F153" s="26"/>
      <c r="G153" s="216" t="str">
        <f t="shared" si="9"/>
        <v xml:space="preserve"> </v>
      </c>
      <c r="H153" s="27" t="str">
        <f>IF('E-Barrows'!A153&lt;'Adj-Barrows'!$B$10,'E-Barrows'!I153," ")</f>
        <v xml:space="preserve"> </v>
      </c>
      <c r="I153" s="217" t="str">
        <f>IF('E-Barrows'!A153&lt;'Adj-Barrows'!$B$10,'E-Barrows'!A153," ")</f>
        <v xml:space="preserve"> </v>
      </c>
      <c r="J153" s="25" t="str">
        <f>IF('E-Barrows'!A153&lt;'Adj-Barrows'!$B$10,'E-Barrows'!J153," ")</f>
        <v xml:space="preserve"> </v>
      </c>
      <c r="K153" s="27" t="str">
        <f>IF('E-Barrows'!A153&lt;'Adj-Barrows'!$B$10,'E-Barrows'!N153," ")</f>
        <v xml:space="preserve"> </v>
      </c>
      <c r="L153" s="26" t="str">
        <f>IF('E-Barrows'!A153&lt;'Adj-Barrows'!$B$10,'E-Barrows'!K153," ")</f>
        <v xml:space="preserve"> </v>
      </c>
      <c r="M153" s="27" t="str">
        <f>IF('E-Barrows'!A153&lt;'Adj-Barrows'!$B$10,'E-Barrows'!M153," ")</f>
        <v xml:space="preserve"> </v>
      </c>
      <c r="N153" s="29" t="str">
        <f>IF('E-Barrows'!A153&lt;'Adj-Barrows'!$B$10,1/L153," ")</f>
        <v xml:space="preserve"> </v>
      </c>
      <c r="P153" s="30" t="str">
        <f t="shared" si="10"/>
        <v/>
      </c>
      <c r="Q153" s="30" t="str">
        <f t="shared" si="11"/>
        <v/>
      </c>
      <c r="R153" s="30" t="str">
        <f t="shared" si="12"/>
        <v/>
      </c>
    </row>
    <row r="154" spans="1:18" x14ac:dyDescent="0.25">
      <c r="A154" s="27" t="str">
        <f>IF('E-Barrows'!A154&lt;'Adj-Barrows'!$B$10,'E-Barrows'!B154," ")</f>
        <v xml:space="preserve"> </v>
      </c>
      <c r="B154" s="25" t="str">
        <f>IF('E-Barrows'!A154&lt;'Adj-Barrows'!$B$10,'E-Barrows'!A154," ")</f>
        <v xml:space="preserve"> </v>
      </c>
      <c r="C154" s="25" t="str">
        <f>IF('E-Barrows'!A154&lt;'Adj-Barrows'!$B$10,'E-Barrows'!C154," ")</f>
        <v xml:space="preserve"> </v>
      </c>
      <c r="D154" s="27" t="str">
        <f>IF('E-Barrows'!A154&lt;'Adj-Barrows'!$B$10,'E-Barrows'!G154," ")</f>
        <v xml:space="preserve"> </v>
      </c>
      <c r="E154" s="26" t="str">
        <f>IF('E-Barrows'!A154&lt;'Adj-Barrows'!$B$10,'E-Barrows'!D154," ")</f>
        <v xml:space="preserve"> </v>
      </c>
      <c r="F154" s="26"/>
      <c r="G154" s="216" t="str">
        <f t="shared" si="9"/>
        <v xml:space="preserve"> </v>
      </c>
      <c r="H154" s="27" t="str">
        <f>IF('E-Barrows'!A154&lt;'Adj-Barrows'!$B$10,'E-Barrows'!I154," ")</f>
        <v xml:space="preserve"> </v>
      </c>
      <c r="I154" s="217" t="str">
        <f>IF('E-Barrows'!A154&lt;'Adj-Barrows'!$B$10,'E-Barrows'!A154," ")</f>
        <v xml:space="preserve"> </v>
      </c>
      <c r="J154" s="25" t="str">
        <f>IF('E-Barrows'!A154&lt;'Adj-Barrows'!$B$10,'E-Barrows'!J154," ")</f>
        <v xml:space="preserve"> </v>
      </c>
      <c r="K154" s="27" t="str">
        <f>IF('E-Barrows'!A154&lt;'Adj-Barrows'!$B$10,'E-Barrows'!N154," ")</f>
        <v xml:space="preserve"> </v>
      </c>
      <c r="L154" s="26" t="str">
        <f>IF('E-Barrows'!A154&lt;'Adj-Barrows'!$B$10,'E-Barrows'!K154," ")</f>
        <v xml:space="preserve"> </v>
      </c>
      <c r="M154" s="27" t="str">
        <f>IF('E-Barrows'!A154&lt;'Adj-Barrows'!$B$10,'E-Barrows'!M154," ")</f>
        <v xml:space="preserve"> </v>
      </c>
      <c r="N154" s="29" t="str">
        <f>IF('E-Barrows'!A154&lt;'Adj-Barrows'!$B$10,1/L154," ")</f>
        <v xml:space="preserve"> </v>
      </c>
      <c r="P154" s="30" t="str">
        <f t="shared" si="10"/>
        <v/>
      </c>
      <c r="Q154" s="30" t="str">
        <f t="shared" si="11"/>
        <v/>
      </c>
      <c r="R154" s="30" t="str">
        <f t="shared" si="12"/>
        <v/>
      </c>
    </row>
    <row r="155" spans="1:18" x14ac:dyDescent="0.25">
      <c r="A155" s="27" t="str">
        <f>IF('E-Barrows'!A155&lt;'Adj-Barrows'!$B$10,'E-Barrows'!B155," ")</f>
        <v xml:space="preserve"> </v>
      </c>
      <c r="B155" s="25" t="str">
        <f>IF('E-Barrows'!A155&lt;'Adj-Barrows'!$B$10,'E-Barrows'!A155," ")</f>
        <v xml:space="preserve"> </v>
      </c>
      <c r="C155" s="25" t="str">
        <f>IF('E-Barrows'!A155&lt;'Adj-Barrows'!$B$10,'E-Barrows'!C155," ")</f>
        <v xml:space="preserve"> </v>
      </c>
      <c r="D155" s="27" t="str">
        <f>IF('E-Barrows'!A155&lt;'Adj-Barrows'!$B$10,'E-Barrows'!G155," ")</f>
        <v xml:space="preserve"> </v>
      </c>
      <c r="E155" s="26" t="str">
        <f>IF('E-Barrows'!A155&lt;'Adj-Barrows'!$B$10,'E-Barrows'!D155," ")</f>
        <v xml:space="preserve"> </v>
      </c>
      <c r="F155" s="26"/>
      <c r="G155" s="216" t="str">
        <f t="shared" si="9"/>
        <v xml:space="preserve"> </v>
      </c>
      <c r="H155" s="27" t="str">
        <f>IF('E-Barrows'!A155&lt;'Adj-Barrows'!$B$10,'E-Barrows'!I155," ")</f>
        <v xml:space="preserve"> </v>
      </c>
      <c r="I155" s="217" t="str">
        <f>IF('E-Barrows'!A155&lt;'Adj-Barrows'!$B$10,'E-Barrows'!A155," ")</f>
        <v xml:space="preserve"> </v>
      </c>
      <c r="J155" s="25" t="str">
        <f>IF('E-Barrows'!A155&lt;'Adj-Barrows'!$B$10,'E-Barrows'!J155," ")</f>
        <v xml:space="preserve"> </v>
      </c>
      <c r="K155" s="27" t="str">
        <f>IF('E-Barrows'!A155&lt;'Adj-Barrows'!$B$10,'E-Barrows'!N155," ")</f>
        <v xml:space="preserve"> </v>
      </c>
      <c r="L155" s="26" t="str">
        <f>IF('E-Barrows'!A155&lt;'Adj-Barrows'!$B$10,'E-Barrows'!K155," ")</f>
        <v xml:space="preserve"> </v>
      </c>
      <c r="M155" s="27" t="str">
        <f>IF('E-Barrows'!A155&lt;'Adj-Barrows'!$B$10,'E-Barrows'!M155," ")</f>
        <v xml:space="preserve"> </v>
      </c>
      <c r="N155" s="29" t="str">
        <f>IF('E-Barrows'!A155&lt;'Adj-Barrows'!$B$10,1/L155," ")</f>
        <v xml:space="preserve"> </v>
      </c>
      <c r="P155" s="30" t="str">
        <f t="shared" si="10"/>
        <v/>
      </c>
      <c r="Q155" s="30" t="str">
        <f t="shared" si="11"/>
        <v/>
      </c>
      <c r="R155" s="30" t="str">
        <f t="shared" si="12"/>
        <v/>
      </c>
    </row>
    <row r="156" spans="1:18" x14ac:dyDescent="0.25">
      <c r="A156" s="27" t="str">
        <f>IF('E-Barrows'!A156&lt;'Adj-Barrows'!$B$10,'E-Barrows'!B156," ")</f>
        <v xml:space="preserve"> </v>
      </c>
      <c r="B156" s="25" t="str">
        <f>IF('E-Barrows'!A156&lt;'Adj-Barrows'!$B$10,'E-Barrows'!A156," ")</f>
        <v xml:space="preserve"> </v>
      </c>
      <c r="C156" s="25" t="str">
        <f>IF('E-Barrows'!A156&lt;'Adj-Barrows'!$B$10,'E-Barrows'!C156," ")</f>
        <v xml:space="preserve"> </v>
      </c>
      <c r="D156" s="27" t="str">
        <f>IF('E-Barrows'!A156&lt;'Adj-Barrows'!$B$10,'E-Barrows'!G156," ")</f>
        <v xml:space="preserve"> </v>
      </c>
      <c r="E156" s="26" t="str">
        <f>IF('E-Barrows'!A156&lt;'Adj-Barrows'!$B$10,'E-Barrows'!D156," ")</f>
        <v xml:space="preserve"> </v>
      </c>
      <c r="F156" s="26"/>
      <c r="G156" s="216" t="str">
        <f t="shared" si="9"/>
        <v xml:space="preserve"> </v>
      </c>
      <c r="H156" s="27" t="str">
        <f>IF('E-Barrows'!A156&lt;'Adj-Barrows'!$B$10,'E-Barrows'!I156," ")</f>
        <v xml:space="preserve"> </v>
      </c>
      <c r="I156" s="217" t="str">
        <f>IF('E-Barrows'!A156&lt;'Adj-Barrows'!$B$10,'E-Barrows'!A156," ")</f>
        <v xml:space="preserve"> </v>
      </c>
      <c r="J156" s="25" t="str">
        <f>IF('E-Barrows'!A156&lt;'Adj-Barrows'!$B$10,'E-Barrows'!J156," ")</f>
        <v xml:space="preserve"> </v>
      </c>
      <c r="K156" s="27" t="str">
        <f>IF('E-Barrows'!A156&lt;'Adj-Barrows'!$B$10,'E-Barrows'!N156," ")</f>
        <v xml:space="preserve"> </v>
      </c>
      <c r="L156" s="26" t="str">
        <f>IF('E-Barrows'!A156&lt;'Adj-Barrows'!$B$10,'E-Barrows'!K156," ")</f>
        <v xml:space="preserve"> </v>
      </c>
      <c r="M156" s="27" t="str">
        <f>IF('E-Barrows'!A156&lt;'Adj-Barrows'!$B$10,'E-Barrows'!M156," ")</f>
        <v xml:space="preserve"> </v>
      </c>
      <c r="N156" s="29" t="str">
        <f>IF('E-Barrows'!A156&lt;'Adj-Barrows'!$B$10,1/L156," ")</f>
        <v xml:space="preserve"> </v>
      </c>
      <c r="P156" s="30" t="str">
        <f t="shared" si="10"/>
        <v/>
      </c>
      <c r="Q156" s="30" t="str">
        <f t="shared" si="11"/>
        <v/>
      </c>
      <c r="R156" s="30" t="str">
        <f t="shared" si="12"/>
        <v/>
      </c>
    </row>
    <row r="157" spans="1:18" x14ac:dyDescent="0.25">
      <c r="A157" s="27" t="str">
        <f>IF('E-Barrows'!A157&lt;'Adj-Barrows'!$B$10,'E-Barrows'!B157," ")</f>
        <v xml:space="preserve"> </v>
      </c>
      <c r="B157" s="25" t="str">
        <f>IF('E-Barrows'!A157&lt;'Adj-Barrows'!$B$10,'E-Barrows'!A157," ")</f>
        <v xml:space="preserve"> </v>
      </c>
      <c r="C157" s="25" t="str">
        <f>IF('E-Barrows'!A157&lt;'Adj-Barrows'!$B$10,'E-Barrows'!C157," ")</f>
        <v xml:space="preserve"> </v>
      </c>
      <c r="D157" s="27" t="str">
        <f>IF('E-Barrows'!A157&lt;'Adj-Barrows'!$B$10,'E-Barrows'!G157," ")</f>
        <v xml:space="preserve"> </v>
      </c>
      <c r="E157" s="26" t="str">
        <f>IF('E-Barrows'!A157&lt;'Adj-Barrows'!$B$10,'E-Barrows'!D157," ")</f>
        <v xml:space="preserve"> </v>
      </c>
      <c r="F157" s="26"/>
      <c r="G157" s="216" t="str">
        <f t="shared" si="9"/>
        <v xml:space="preserve"> </v>
      </c>
      <c r="H157" s="27" t="str">
        <f>IF('E-Barrows'!A157&lt;'Adj-Barrows'!$B$10,'E-Barrows'!I157," ")</f>
        <v xml:space="preserve"> </v>
      </c>
      <c r="I157" s="217" t="str">
        <f>IF('E-Barrows'!A157&lt;'Adj-Barrows'!$B$10,'E-Barrows'!A157," ")</f>
        <v xml:space="preserve"> </v>
      </c>
      <c r="J157" s="25" t="str">
        <f>IF('E-Barrows'!A157&lt;'Adj-Barrows'!$B$10,'E-Barrows'!J157," ")</f>
        <v xml:space="preserve"> </v>
      </c>
      <c r="K157" s="27" t="str">
        <f>IF('E-Barrows'!A157&lt;'Adj-Barrows'!$B$10,'E-Barrows'!N157," ")</f>
        <v xml:space="preserve"> </v>
      </c>
      <c r="L157" s="26" t="str">
        <f>IF('E-Barrows'!A157&lt;'Adj-Barrows'!$B$10,'E-Barrows'!K157," ")</f>
        <v xml:space="preserve"> </v>
      </c>
      <c r="M157" s="27" t="str">
        <f>IF('E-Barrows'!A157&lt;'Adj-Barrows'!$B$10,'E-Barrows'!M157," ")</f>
        <v xml:space="preserve"> </v>
      </c>
      <c r="N157" s="29" t="str">
        <f>IF('E-Barrows'!A157&lt;'Adj-Barrows'!$B$10,1/L157," ")</f>
        <v xml:space="preserve"> </v>
      </c>
      <c r="P157" s="30" t="str">
        <f t="shared" si="10"/>
        <v/>
      </c>
      <c r="Q157" s="30" t="str">
        <f t="shared" si="11"/>
        <v/>
      </c>
      <c r="R157" s="30" t="str">
        <f t="shared" si="12"/>
        <v/>
      </c>
    </row>
    <row r="158" spans="1:18" x14ac:dyDescent="0.25">
      <c r="A158" s="27" t="str">
        <f>IF('E-Barrows'!A158&lt;'Adj-Barrows'!$B$10,'E-Barrows'!B158," ")</f>
        <v xml:space="preserve"> </v>
      </c>
      <c r="B158" s="25" t="str">
        <f>IF('E-Barrows'!A158&lt;'Adj-Barrows'!$B$10,'E-Barrows'!A158," ")</f>
        <v xml:space="preserve"> </v>
      </c>
      <c r="C158" s="25" t="str">
        <f>IF('E-Barrows'!A158&lt;'Adj-Barrows'!$B$10,'E-Barrows'!C158," ")</f>
        <v xml:space="preserve"> </v>
      </c>
      <c r="D158" s="27" t="str">
        <f>IF('E-Barrows'!A158&lt;'Adj-Barrows'!$B$10,'E-Barrows'!G158," ")</f>
        <v xml:space="preserve"> </v>
      </c>
      <c r="E158" s="26" t="str">
        <f>IF('E-Barrows'!A158&lt;'Adj-Barrows'!$B$10,'E-Barrows'!D158," ")</f>
        <v xml:space="preserve"> </v>
      </c>
      <c r="F158" s="26"/>
      <c r="G158" s="216" t="str">
        <f t="shared" si="9"/>
        <v xml:space="preserve"> </v>
      </c>
      <c r="H158" s="27" t="str">
        <f>IF('E-Barrows'!A158&lt;'Adj-Barrows'!$B$10,'E-Barrows'!I158," ")</f>
        <v xml:space="preserve"> </v>
      </c>
      <c r="I158" s="217" t="str">
        <f>IF('E-Barrows'!A158&lt;'Adj-Barrows'!$B$10,'E-Barrows'!A158," ")</f>
        <v xml:space="preserve"> </v>
      </c>
      <c r="J158" s="25" t="str">
        <f>IF('E-Barrows'!A158&lt;'Adj-Barrows'!$B$10,'E-Barrows'!J158," ")</f>
        <v xml:space="preserve"> </v>
      </c>
      <c r="K158" s="27" t="str">
        <f>IF('E-Barrows'!A158&lt;'Adj-Barrows'!$B$10,'E-Barrows'!N158," ")</f>
        <v xml:space="preserve"> </v>
      </c>
      <c r="L158" s="26" t="str">
        <f>IF('E-Barrows'!A158&lt;'Adj-Barrows'!$B$10,'E-Barrows'!K158," ")</f>
        <v xml:space="preserve"> </v>
      </c>
      <c r="M158" s="27" t="str">
        <f>IF('E-Barrows'!A158&lt;'Adj-Barrows'!$B$10,'E-Barrows'!M158," ")</f>
        <v xml:space="preserve"> </v>
      </c>
      <c r="N158" s="29" t="str">
        <f>IF('E-Barrows'!A158&lt;'Adj-Barrows'!$B$10,1/L158," ")</f>
        <v xml:space="preserve"> </v>
      </c>
      <c r="P158" s="30" t="str">
        <f t="shared" si="10"/>
        <v/>
      </c>
      <c r="Q158" s="30" t="str">
        <f t="shared" si="11"/>
        <v/>
      </c>
      <c r="R158" s="30" t="str">
        <f t="shared" si="12"/>
        <v/>
      </c>
    </row>
    <row r="159" spans="1:18" x14ac:dyDescent="0.25">
      <c r="A159" s="27" t="str">
        <f>IF('E-Barrows'!A159&lt;'Adj-Barrows'!$B$10,'E-Barrows'!B159," ")</f>
        <v xml:space="preserve"> </v>
      </c>
      <c r="B159" s="25" t="str">
        <f>IF('E-Barrows'!A159&lt;'Adj-Barrows'!$B$10,'E-Barrows'!A159," ")</f>
        <v xml:space="preserve"> </v>
      </c>
      <c r="C159" s="25" t="str">
        <f>IF('E-Barrows'!A159&lt;'Adj-Barrows'!$B$10,'E-Barrows'!C159," ")</f>
        <v xml:space="preserve"> </v>
      </c>
      <c r="D159" s="27" t="str">
        <f>IF('E-Barrows'!A159&lt;'Adj-Barrows'!$B$10,'E-Barrows'!G159," ")</f>
        <v xml:space="preserve"> </v>
      </c>
      <c r="E159" s="26" t="str">
        <f>IF('E-Barrows'!A159&lt;'Adj-Barrows'!$B$10,'E-Barrows'!D159," ")</f>
        <v xml:space="preserve"> </v>
      </c>
      <c r="F159" s="26"/>
      <c r="G159" s="216" t="str">
        <f t="shared" si="9"/>
        <v xml:space="preserve"> </v>
      </c>
      <c r="H159" s="27" t="str">
        <f>IF('E-Barrows'!A159&lt;'Adj-Barrows'!$B$10,'E-Barrows'!I159," ")</f>
        <v xml:space="preserve"> </v>
      </c>
      <c r="I159" s="217" t="str">
        <f>IF('E-Barrows'!A159&lt;'Adj-Barrows'!$B$10,'E-Barrows'!A159," ")</f>
        <v xml:space="preserve"> </v>
      </c>
      <c r="J159" s="25" t="str">
        <f>IF('E-Barrows'!A159&lt;'Adj-Barrows'!$B$10,'E-Barrows'!J159," ")</f>
        <v xml:space="preserve"> </v>
      </c>
      <c r="K159" s="27" t="str">
        <f>IF('E-Barrows'!A159&lt;'Adj-Barrows'!$B$10,'E-Barrows'!N159," ")</f>
        <v xml:space="preserve"> </v>
      </c>
      <c r="L159" s="26" t="str">
        <f>IF('E-Barrows'!A159&lt;'Adj-Barrows'!$B$10,'E-Barrows'!K159," ")</f>
        <v xml:space="preserve"> </v>
      </c>
      <c r="M159" s="27" t="str">
        <f>IF('E-Barrows'!A159&lt;'Adj-Barrows'!$B$10,'E-Barrows'!M159," ")</f>
        <v xml:space="preserve"> </v>
      </c>
      <c r="N159" s="29" t="str">
        <f>IF('E-Barrows'!A159&lt;'Adj-Barrows'!$B$10,1/L159," ")</f>
        <v xml:space="preserve"> </v>
      </c>
      <c r="P159" s="30" t="str">
        <f t="shared" si="10"/>
        <v/>
      </c>
      <c r="Q159" s="30" t="str">
        <f t="shared" si="11"/>
        <v/>
      </c>
      <c r="R159" s="30" t="str">
        <f t="shared" si="12"/>
        <v/>
      </c>
    </row>
    <row r="160" spans="1:18" x14ac:dyDescent="0.25">
      <c r="A160" s="27" t="str">
        <f>IF('E-Barrows'!A160&lt;'Adj-Barrows'!$B$10,'E-Barrows'!B160," ")</f>
        <v xml:space="preserve"> </v>
      </c>
      <c r="B160" s="25" t="str">
        <f>IF('E-Barrows'!A160&lt;'Adj-Barrows'!$B$10,'E-Barrows'!A160," ")</f>
        <v xml:space="preserve"> </v>
      </c>
      <c r="C160" s="25" t="str">
        <f>IF('E-Barrows'!A160&lt;'Adj-Barrows'!$B$10,'E-Barrows'!C160," ")</f>
        <v xml:space="preserve"> </v>
      </c>
      <c r="D160" s="27" t="str">
        <f>IF('E-Barrows'!A160&lt;'Adj-Barrows'!$B$10,'E-Barrows'!G160," ")</f>
        <v xml:space="preserve"> </v>
      </c>
      <c r="E160" s="26" t="str">
        <f>IF('E-Barrows'!A160&lt;'Adj-Barrows'!$B$10,'E-Barrows'!D160," ")</f>
        <v xml:space="preserve"> </v>
      </c>
      <c r="F160" s="26"/>
      <c r="G160" s="216" t="str">
        <f t="shared" si="9"/>
        <v xml:space="preserve"> </v>
      </c>
      <c r="H160" s="27" t="str">
        <f>IF('E-Barrows'!A160&lt;'Adj-Barrows'!$B$10,'E-Barrows'!I160," ")</f>
        <v xml:space="preserve"> </v>
      </c>
      <c r="I160" s="217" t="str">
        <f>IF('E-Barrows'!A160&lt;'Adj-Barrows'!$B$10,'E-Barrows'!A160," ")</f>
        <v xml:space="preserve"> </v>
      </c>
      <c r="J160" s="25" t="str">
        <f>IF('E-Barrows'!A160&lt;'Adj-Barrows'!$B$10,'E-Barrows'!J160," ")</f>
        <v xml:space="preserve"> </v>
      </c>
      <c r="K160" s="27" t="str">
        <f>IF('E-Barrows'!A160&lt;'Adj-Barrows'!$B$10,'E-Barrows'!N160," ")</f>
        <v xml:space="preserve"> </v>
      </c>
      <c r="L160" s="26" t="str">
        <f>IF('E-Barrows'!A160&lt;'Adj-Barrows'!$B$10,'E-Barrows'!K160," ")</f>
        <v xml:space="preserve"> </v>
      </c>
      <c r="M160" s="27" t="str">
        <f>IF('E-Barrows'!A160&lt;'Adj-Barrows'!$B$10,'E-Barrows'!M160," ")</f>
        <v xml:space="preserve"> </v>
      </c>
      <c r="N160" s="29" t="str">
        <f>IF('E-Barrows'!A160&lt;'Adj-Barrows'!$B$10,1/L160," ")</f>
        <v xml:space="preserve"> </v>
      </c>
      <c r="P160" s="30" t="str">
        <f t="shared" si="10"/>
        <v/>
      </c>
      <c r="Q160" s="30" t="str">
        <f t="shared" si="11"/>
        <v/>
      </c>
      <c r="R160" s="30" t="str">
        <f t="shared" si="12"/>
        <v/>
      </c>
    </row>
    <row r="161" spans="1:18" x14ac:dyDescent="0.25">
      <c r="A161" s="27" t="str">
        <f>IF('E-Barrows'!A161&lt;'Adj-Barrows'!$B$10,'E-Barrows'!B161," ")</f>
        <v xml:space="preserve"> </v>
      </c>
      <c r="B161" s="25" t="str">
        <f>IF('E-Barrows'!A161&lt;'Adj-Barrows'!$B$10,'E-Barrows'!A161," ")</f>
        <v xml:space="preserve"> </v>
      </c>
      <c r="C161" s="25" t="str">
        <f>IF('E-Barrows'!A161&lt;'Adj-Barrows'!$B$10,'E-Barrows'!C161," ")</f>
        <v xml:space="preserve"> </v>
      </c>
      <c r="D161" s="27" t="str">
        <f>IF('E-Barrows'!A161&lt;'Adj-Barrows'!$B$10,'E-Barrows'!G161," ")</f>
        <v xml:space="preserve"> </v>
      </c>
      <c r="E161" s="26" t="str">
        <f>IF('E-Barrows'!A161&lt;'Adj-Barrows'!$B$10,'E-Barrows'!D161," ")</f>
        <v xml:space="preserve"> </v>
      </c>
      <c r="F161" s="26"/>
      <c r="G161" s="216" t="str">
        <f t="shared" si="9"/>
        <v xml:space="preserve"> </v>
      </c>
      <c r="H161" s="27" t="str">
        <f>IF('E-Barrows'!A161&lt;'Adj-Barrows'!$B$10,'E-Barrows'!I161," ")</f>
        <v xml:space="preserve"> </v>
      </c>
      <c r="I161" s="217" t="str">
        <f>IF('E-Barrows'!A161&lt;'Adj-Barrows'!$B$10,'E-Barrows'!A161," ")</f>
        <v xml:space="preserve"> </v>
      </c>
      <c r="J161" s="25" t="str">
        <f>IF('E-Barrows'!A161&lt;'Adj-Barrows'!$B$10,'E-Barrows'!J161," ")</f>
        <v xml:space="preserve"> </v>
      </c>
      <c r="K161" s="27" t="str">
        <f>IF('E-Barrows'!A161&lt;'Adj-Barrows'!$B$10,'E-Barrows'!N161," ")</f>
        <v xml:space="preserve"> </v>
      </c>
      <c r="L161" s="26" t="str">
        <f>IF('E-Barrows'!A161&lt;'Adj-Barrows'!$B$10,'E-Barrows'!K161," ")</f>
        <v xml:space="preserve"> </v>
      </c>
      <c r="M161" s="27" t="str">
        <f>IF('E-Barrows'!A161&lt;'Adj-Barrows'!$B$10,'E-Barrows'!M161," ")</f>
        <v xml:space="preserve"> </v>
      </c>
      <c r="N161" s="29" t="str">
        <f>IF('E-Barrows'!A161&lt;'Adj-Barrows'!$B$10,1/L161," ")</f>
        <v xml:space="preserve"> </v>
      </c>
      <c r="P161" s="30" t="str">
        <f t="shared" si="10"/>
        <v/>
      </c>
      <c r="Q161" s="30" t="str">
        <f t="shared" si="11"/>
        <v/>
      </c>
      <c r="R161" s="30" t="str">
        <f t="shared" si="12"/>
        <v/>
      </c>
    </row>
    <row r="162" spans="1:18" x14ac:dyDescent="0.25">
      <c r="A162" s="27" t="str">
        <f>IF('E-Barrows'!A162&lt;'Adj-Barrows'!$B$10,'E-Barrows'!B162," ")</f>
        <v xml:space="preserve"> </v>
      </c>
      <c r="B162" s="25" t="str">
        <f>IF('E-Barrows'!A162&lt;'Adj-Barrows'!$B$10,'E-Barrows'!A162," ")</f>
        <v xml:space="preserve"> </v>
      </c>
      <c r="C162" s="25" t="str">
        <f>IF('E-Barrows'!A162&lt;'Adj-Barrows'!$B$10,'E-Barrows'!C162," ")</f>
        <v xml:space="preserve"> </v>
      </c>
      <c r="D162" s="27" t="str">
        <f>IF('E-Barrows'!A162&lt;'Adj-Barrows'!$B$10,'E-Barrows'!G162," ")</f>
        <v xml:space="preserve"> </v>
      </c>
      <c r="E162" s="26" t="str">
        <f>IF('E-Barrows'!A162&lt;'Adj-Barrows'!$B$10,'E-Barrows'!D162," ")</f>
        <v xml:space="preserve"> </v>
      </c>
      <c r="F162" s="26"/>
      <c r="G162" s="216" t="str">
        <f t="shared" si="9"/>
        <v xml:space="preserve"> </v>
      </c>
      <c r="H162" s="27" t="str">
        <f>IF('E-Barrows'!A162&lt;'Adj-Barrows'!$B$10,'E-Barrows'!I162," ")</f>
        <v xml:space="preserve"> </v>
      </c>
      <c r="I162" s="217" t="str">
        <f>IF('E-Barrows'!A162&lt;'Adj-Barrows'!$B$10,'E-Barrows'!A162," ")</f>
        <v xml:space="preserve"> </v>
      </c>
      <c r="J162" s="25" t="str">
        <f>IF('E-Barrows'!A162&lt;'Adj-Barrows'!$B$10,'E-Barrows'!J162," ")</f>
        <v xml:space="preserve"> </v>
      </c>
      <c r="K162" s="27" t="str">
        <f>IF('E-Barrows'!A162&lt;'Adj-Barrows'!$B$10,'E-Barrows'!N162," ")</f>
        <v xml:space="preserve"> </v>
      </c>
      <c r="L162" s="26" t="str">
        <f>IF('E-Barrows'!A162&lt;'Adj-Barrows'!$B$10,'E-Barrows'!K162," ")</f>
        <v xml:space="preserve"> </v>
      </c>
      <c r="M162" s="27" t="str">
        <f>IF('E-Barrows'!A162&lt;'Adj-Barrows'!$B$10,'E-Barrows'!M162," ")</f>
        <v xml:space="preserve"> </v>
      </c>
      <c r="N162" s="29" t="str">
        <f>IF('E-Barrows'!A162&lt;'Adj-Barrows'!$B$10,1/L162," ")</f>
        <v xml:space="preserve"> </v>
      </c>
      <c r="P162" s="30" t="str">
        <f t="shared" si="10"/>
        <v/>
      </c>
      <c r="Q162" s="30" t="str">
        <f t="shared" si="11"/>
        <v/>
      </c>
      <c r="R162" s="30" t="str">
        <f t="shared" si="12"/>
        <v/>
      </c>
    </row>
    <row r="163" spans="1:18" x14ac:dyDescent="0.25">
      <c r="A163" s="27" t="str">
        <f>IF('E-Barrows'!A163&lt;'Adj-Barrows'!$B$10,'E-Barrows'!B163," ")</f>
        <v xml:space="preserve"> </v>
      </c>
      <c r="B163" s="25" t="str">
        <f>IF('E-Barrows'!A163&lt;'Adj-Barrows'!$B$10,'E-Barrows'!A163," ")</f>
        <v xml:space="preserve"> </v>
      </c>
      <c r="C163" s="25" t="str">
        <f>IF('E-Barrows'!A163&lt;'Adj-Barrows'!$B$10,'E-Barrows'!C163," ")</f>
        <v xml:space="preserve"> </v>
      </c>
      <c r="D163" s="27" t="str">
        <f>IF('E-Barrows'!A163&lt;'Adj-Barrows'!$B$10,'E-Barrows'!G163," ")</f>
        <v xml:space="preserve"> </v>
      </c>
      <c r="E163" s="26" t="str">
        <f>IF('E-Barrows'!A163&lt;'Adj-Barrows'!$B$10,'E-Barrows'!D163," ")</f>
        <v xml:space="preserve"> </v>
      </c>
      <c r="F163" s="26"/>
      <c r="G163" s="216" t="str">
        <f t="shared" si="9"/>
        <v xml:space="preserve"> </v>
      </c>
      <c r="H163" s="27" t="str">
        <f>IF('E-Barrows'!A163&lt;'Adj-Barrows'!$B$10,'E-Barrows'!I163," ")</f>
        <v xml:space="preserve"> </v>
      </c>
      <c r="I163" s="217" t="str">
        <f>IF('E-Barrows'!A163&lt;'Adj-Barrows'!$B$10,'E-Barrows'!A163," ")</f>
        <v xml:space="preserve"> </v>
      </c>
      <c r="J163" s="25" t="str">
        <f>IF('E-Barrows'!A163&lt;'Adj-Barrows'!$B$10,'E-Barrows'!J163," ")</f>
        <v xml:space="preserve"> </v>
      </c>
      <c r="K163" s="27" t="str">
        <f>IF('E-Barrows'!A163&lt;'Adj-Barrows'!$B$10,'E-Barrows'!N163," ")</f>
        <v xml:space="preserve"> </v>
      </c>
      <c r="L163" s="26" t="str">
        <f>IF('E-Barrows'!A163&lt;'Adj-Barrows'!$B$10,'E-Barrows'!K163," ")</f>
        <v xml:space="preserve"> </v>
      </c>
      <c r="M163" s="27" t="str">
        <f>IF('E-Barrows'!A163&lt;'Adj-Barrows'!$B$10,'E-Barrows'!M163," ")</f>
        <v xml:space="preserve"> </v>
      </c>
      <c r="N163" s="29" t="str">
        <f>IF('E-Barrows'!A163&lt;'Adj-Barrows'!$B$10,1/L163," ")</f>
        <v xml:space="preserve"> </v>
      </c>
      <c r="P163" s="30" t="str">
        <f t="shared" si="10"/>
        <v/>
      </c>
      <c r="Q163" s="30" t="str">
        <f t="shared" si="11"/>
        <v/>
      </c>
      <c r="R163" s="30" t="str">
        <f t="shared" si="12"/>
        <v/>
      </c>
    </row>
    <row r="164" spans="1:18" x14ac:dyDescent="0.25">
      <c r="A164" s="27" t="str">
        <f>IF('E-Barrows'!A164&lt;'Adj-Barrows'!$B$10,'E-Barrows'!B164," ")</f>
        <v xml:space="preserve"> </v>
      </c>
      <c r="B164" s="25" t="str">
        <f>IF('E-Barrows'!A164&lt;'Adj-Barrows'!$B$10,'E-Barrows'!A164," ")</f>
        <v xml:space="preserve"> </v>
      </c>
      <c r="C164" s="25" t="str">
        <f>IF('E-Barrows'!A164&lt;'Adj-Barrows'!$B$10,'E-Barrows'!C164," ")</f>
        <v xml:space="preserve"> </v>
      </c>
      <c r="D164" s="27" t="str">
        <f>IF('E-Barrows'!A164&lt;'Adj-Barrows'!$B$10,'E-Barrows'!G164," ")</f>
        <v xml:space="preserve"> </v>
      </c>
      <c r="E164" s="26" t="str">
        <f>IF('E-Barrows'!A164&lt;'Adj-Barrows'!$B$10,'E-Barrows'!D164," ")</f>
        <v xml:space="preserve"> </v>
      </c>
      <c r="F164" s="26"/>
      <c r="G164" s="216" t="str">
        <f t="shared" si="9"/>
        <v xml:space="preserve"> </v>
      </c>
      <c r="H164" s="27" t="str">
        <f>IF('E-Barrows'!A164&lt;'Adj-Barrows'!$B$10,'E-Barrows'!I164," ")</f>
        <v xml:space="preserve"> </v>
      </c>
      <c r="I164" s="217" t="str">
        <f>IF('E-Barrows'!A164&lt;'Adj-Barrows'!$B$10,'E-Barrows'!A164," ")</f>
        <v xml:space="preserve"> </v>
      </c>
      <c r="J164" s="25" t="str">
        <f>IF('E-Barrows'!A164&lt;'Adj-Barrows'!$B$10,'E-Barrows'!J164," ")</f>
        <v xml:space="preserve"> </v>
      </c>
      <c r="K164" s="27" t="str">
        <f>IF('E-Barrows'!A164&lt;'Adj-Barrows'!$B$10,'E-Barrows'!N164," ")</f>
        <v xml:space="preserve"> </v>
      </c>
      <c r="L164" s="26" t="str">
        <f>IF('E-Barrows'!A164&lt;'Adj-Barrows'!$B$10,'E-Barrows'!K164," ")</f>
        <v xml:space="preserve"> </v>
      </c>
      <c r="M164" s="27" t="str">
        <f>IF('E-Barrows'!A164&lt;'Adj-Barrows'!$B$10,'E-Barrows'!M164," ")</f>
        <v xml:space="preserve"> </v>
      </c>
      <c r="N164" s="29" t="str">
        <f>IF('E-Barrows'!A164&lt;'Adj-Barrows'!$B$10,1/L164," ")</f>
        <v xml:space="preserve"> </v>
      </c>
      <c r="P164" s="30" t="str">
        <f t="shared" si="10"/>
        <v/>
      </c>
      <c r="Q164" s="30" t="str">
        <f t="shared" si="11"/>
        <v/>
      </c>
      <c r="R164" s="30" t="str">
        <f t="shared" si="12"/>
        <v/>
      </c>
    </row>
    <row r="165" spans="1:18" x14ac:dyDescent="0.25">
      <c r="A165" s="27" t="str">
        <f>IF('E-Barrows'!A165&lt;'Adj-Barrows'!$B$10,'E-Barrows'!B165," ")</f>
        <v xml:space="preserve"> </v>
      </c>
      <c r="B165" s="25" t="str">
        <f>IF('E-Barrows'!A165&lt;'Adj-Barrows'!$B$10,'E-Barrows'!A165," ")</f>
        <v xml:space="preserve"> </v>
      </c>
      <c r="C165" s="25" t="str">
        <f>IF('E-Barrows'!A165&lt;'Adj-Barrows'!$B$10,'E-Barrows'!C165," ")</f>
        <v xml:space="preserve"> </v>
      </c>
      <c r="D165" s="27" t="str">
        <f>IF('E-Barrows'!A165&lt;'Adj-Barrows'!$B$10,'E-Barrows'!G165," ")</f>
        <v xml:space="preserve"> </v>
      </c>
      <c r="E165" s="26" t="str">
        <f>IF('E-Barrows'!A165&lt;'Adj-Barrows'!$B$10,'E-Barrows'!D165," ")</f>
        <v xml:space="preserve"> </v>
      </c>
      <c r="F165" s="26"/>
      <c r="G165" s="216" t="str">
        <f t="shared" si="9"/>
        <v xml:space="preserve"> </v>
      </c>
      <c r="H165" s="27" t="str">
        <f>IF('E-Barrows'!A165&lt;'Adj-Barrows'!$B$10,'E-Barrows'!I165," ")</f>
        <v xml:space="preserve"> </v>
      </c>
      <c r="I165" s="217" t="str">
        <f>IF('E-Barrows'!A165&lt;'Adj-Barrows'!$B$10,'E-Barrows'!A165," ")</f>
        <v xml:space="preserve"> </v>
      </c>
      <c r="J165" s="25" t="str">
        <f>IF('E-Barrows'!A165&lt;'Adj-Barrows'!$B$10,'E-Barrows'!J165," ")</f>
        <v xml:space="preserve"> </v>
      </c>
      <c r="K165" s="27" t="str">
        <f>IF('E-Barrows'!A165&lt;'Adj-Barrows'!$B$10,'E-Barrows'!N165," ")</f>
        <v xml:space="preserve"> </v>
      </c>
      <c r="L165" s="26" t="str">
        <f>IF('E-Barrows'!A165&lt;'Adj-Barrows'!$B$10,'E-Barrows'!K165," ")</f>
        <v xml:space="preserve"> </v>
      </c>
      <c r="M165" s="27" t="str">
        <f>IF('E-Barrows'!A165&lt;'Adj-Barrows'!$B$10,'E-Barrows'!M165," ")</f>
        <v xml:space="preserve"> </v>
      </c>
      <c r="N165" s="29" t="str">
        <f>IF('E-Barrows'!A165&lt;'Adj-Barrows'!$B$10,1/L165," ")</f>
        <v xml:space="preserve"> </v>
      </c>
      <c r="P165" s="30" t="str">
        <f t="shared" si="10"/>
        <v/>
      </c>
      <c r="Q165" s="30" t="str">
        <f t="shared" si="11"/>
        <v/>
      </c>
      <c r="R165" s="30" t="str">
        <f t="shared" si="12"/>
        <v/>
      </c>
    </row>
    <row r="166" spans="1:18" x14ac:dyDescent="0.25">
      <c r="A166" s="27" t="str">
        <f>IF('E-Barrows'!A166&lt;'Adj-Barrows'!$B$10,'E-Barrows'!B166," ")</f>
        <v xml:space="preserve"> </v>
      </c>
      <c r="B166" s="25" t="str">
        <f>IF('E-Barrows'!A166&lt;'Adj-Barrows'!$B$10,'E-Barrows'!A166," ")</f>
        <v xml:space="preserve"> </v>
      </c>
      <c r="C166" s="25" t="str">
        <f>IF('E-Barrows'!A166&lt;'Adj-Barrows'!$B$10,'E-Barrows'!C166," ")</f>
        <v xml:space="preserve"> </v>
      </c>
      <c r="D166" s="27" t="str">
        <f>IF('E-Barrows'!A166&lt;'Adj-Barrows'!$B$10,'E-Barrows'!G166," ")</f>
        <v xml:space="preserve"> </v>
      </c>
      <c r="E166" s="26" t="str">
        <f>IF('E-Barrows'!A166&lt;'Adj-Barrows'!$B$10,'E-Barrows'!D166," ")</f>
        <v xml:space="preserve"> </v>
      </c>
      <c r="F166" s="26"/>
      <c r="G166" s="216" t="str">
        <f t="shared" si="9"/>
        <v xml:space="preserve"> </v>
      </c>
      <c r="H166" s="27" t="str">
        <f>IF('E-Barrows'!A166&lt;'Adj-Barrows'!$B$10,'E-Barrows'!I166," ")</f>
        <v xml:space="preserve"> </v>
      </c>
      <c r="I166" s="217" t="str">
        <f>IF('E-Barrows'!A166&lt;'Adj-Barrows'!$B$10,'E-Barrows'!A166," ")</f>
        <v xml:space="preserve"> </v>
      </c>
      <c r="J166" s="25" t="str">
        <f>IF('E-Barrows'!A166&lt;'Adj-Barrows'!$B$10,'E-Barrows'!J166," ")</f>
        <v xml:space="preserve"> </v>
      </c>
      <c r="K166" s="27" t="str">
        <f>IF('E-Barrows'!A166&lt;'Adj-Barrows'!$B$10,'E-Barrows'!N166," ")</f>
        <v xml:space="preserve"> </v>
      </c>
      <c r="L166" s="26" t="str">
        <f>IF('E-Barrows'!A166&lt;'Adj-Barrows'!$B$10,'E-Barrows'!K166," ")</f>
        <v xml:space="preserve"> </v>
      </c>
      <c r="M166" s="27" t="str">
        <f>IF('E-Barrows'!A166&lt;'Adj-Barrows'!$B$10,'E-Barrows'!M166," ")</f>
        <v xml:space="preserve"> </v>
      </c>
      <c r="N166" s="29" t="str">
        <f>IF('E-Barrows'!A166&lt;'Adj-Barrows'!$B$10,1/L166," ")</f>
        <v xml:space="preserve"> </v>
      </c>
      <c r="P166" s="30" t="str">
        <f t="shared" si="10"/>
        <v/>
      </c>
      <c r="Q166" s="30" t="str">
        <f t="shared" si="11"/>
        <v/>
      </c>
      <c r="R166" s="30" t="str">
        <f t="shared" si="12"/>
        <v/>
      </c>
    </row>
    <row r="167" spans="1:18" x14ac:dyDescent="0.25">
      <c r="A167" s="27" t="str">
        <f>IF('E-Barrows'!A167&lt;'Adj-Barrows'!$B$10,'E-Barrows'!B167," ")</f>
        <v xml:space="preserve"> </v>
      </c>
      <c r="B167" s="25" t="str">
        <f>IF('E-Barrows'!A167&lt;'Adj-Barrows'!$B$10,'E-Barrows'!A167," ")</f>
        <v xml:space="preserve"> </v>
      </c>
      <c r="C167" s="25" t="str">
        <f>IF('E-Barrows'!A167&lt;'Adj-Barrows'!$B$10,'E-Barrows'!C167," ")</f>
        <v xml:space="preserve"> </v>
      </c>
      <c r="D167" s="27" t="str">
        <f>IF('E-Barrows'!A167&lt;'Adj-Barrows'!$B$10,'E-Barrows'!G167," ")</f>
        <v xml:space="preserve"> </v>
      </c>
      <c r="E167" s="26" t="str">
        <f>IF('E-Barrows'!A167&lt;'Adj-Barrows'!$B$10,'E-Barrows'!D167," ")</f>
        <v xml:space="preserve"> </v>
      </c>
      <c r="F167" s="26"/>
      <c r="G167" s="216" t="str">
        <f t="shared" si="9"/>
        <v xml:space="preserve"> </v>
      </c>
      <c r="H167" s="27" t="str">
        <f>IF('E-Barrows'!A167&lt;'Adj-Barrows'!$B$10,'E-Barrows'!I167," ")</f>
        <v xml:space="preserve"> </v>
      </c>
      <c r="I167" s="217" t="str">
        <f>IF('E-Barrows'!A167&lt;'Adj-Barrows'!$B$10,'E-Barrows'!A167," ")</f>
        <v xml:space="preserve"> </v>
      </c>
      <c r="J167" s="25" t="str">
        <f>IF('E-Barrows'!A167&lt;'Adj-Barrows'!$B$10,'E-Barrows'!J167," ")</f>
        <v xml:space="preserve"> </v>
      </c>
      <c r="K167" s="27" t="str">
        <f>IF('E-Barrows'!A167&lt;'Adj-Barrows'!$B$10,'E-Barrows'!N167," ")</f>
        <v xml:space="preserve"> </v>
      </c>
      <c r="L167" s="26" t="str">
        <f>IF('E-Barrows'!A167&lt;'Adj-Barrows'!$B$10,'E-Barrows'!K167," ")</f>
        <v xml:space="preserve"> </v>
      </c>
      <c r="M167" s="27" t="str">
        <f>IF('E-Barrows'!A167&lt;'Adj-Barrows'!$B$10,'E-Barrows'!M167," ")</f>
        <v xml:space="preserve"> </v>
      </c>
      <c r="N167" s="29" t="str">
        <f>IF('E-Barrows'!A167&lt;'Adj-Barrows'!$B$10,1/L167," ")</f>
        <v xml:space="preserve"> </v>
      </c>
      <c r="P167" s="30" t="str">
        <f t="shared" si="10"/>
        <v/>
      </c>
      <c r="Q167" s="30" t="str">
        <f t="shared" si="11"/>
        <v/>
      </c>
      <c r="R167" s="30" t="str">
        <f t="shared" si="12"/>
        <v/>
      </c>
    </row>
    <row r="168" spans="1:18" x14ac:dyDescent="0.25">
      <c r="A168" s="27" t="str">
        <f>IF('E-Barrows'!A168&lt;'Adj-Barrows'!$B$10,'E-Barrows'!B168," ")</f>
        <v xml:space="preserve"> </v>
      </c>
      <c r="B168" s="25" t="str">
        <f>IF('E-Barrows'!A168&lt;'Adj-Barrows'!$B$10,'E-Barrows'!A168," ")</f>
        <v xml:space="preserve"> </v>
      </c>
      <c r="C168" s="25" t="str">
        <f>IF('E-Barrows'!A168&lt;'Adj-Barrows'!$B$10,'E-Barrows'!C168," ")</f>
        <v xml:space="preserve"> </v>
      </c>
      <c r="D168" s="27" t="str">
        <f>IF('E-Barrows'!A168&lt;'Adj-Barrows'!$B$10,'E-Barrows'!G168," ")</f>
        <v xml:space="preserve"> </v>
      </c>
      <c r="E168" s="26" t="str">
        <f>IF('E-Barrows'!A168&lt;'Adj-Barrows'!$B$10,'E-Barrows'!D168," ")</f>
        <v xml:space="preserve"> </v>
      </c>
      <c r="F168" s="26"/>
      <c r="G168" s="216" t="str">
        <f t="shared" si="9"/>
        <v xml:space="preserve"> </v>
      </c>
      <c r="H168" s="27" t="str">
        <f>IF('E-Barrows'!A168&lt;'Adj-Barrows'!$B$10,'E-Barrows'!I168," ")</f>
        <v xml:space="preserve"> </v>
      </c>
      <c r="I168" s="217" t="str">
        <f>IF('E-Barrows'!A168&lt;'Adj-Barrows'!$B$10,'E-Barrows'!A168," ")</f>
        <v xml:space="preserve"> </v>
      </c>
      <c r="J168" s="25" t="str">
        <f>IF('E-Barrows'!A168&lt;'Adj-Barrows'!$B$10,'E-Barrows'!J168," ")</f>
        <v xml:space="preserve"> </v>
      </c>
      <c r="K168" s="27" t="str">
        <f>IF('E-Barrows'!A168&lt;'Adj-Barrows'!$B$10,'E-Barrows'!N168," ")</f>
        <v xml:space="preserve"> </v>
      </c>
      <c r="L168" s="26" t="str">
        <f>IF('E-Barrows'!A168&lt;'Adj-Barrows'!$B$10,'E-Barrows'!K168," ")</f>
        <v xml:space="preserve"> </v>
      </c>
      <c r="M168" s="27" t="str">
        <f>IF('E-Barrows'!A168&lt;'Adj-Barrows'!$B$10,'E-Barrows'!M168," ")</f>
        <v xml:space="preserve"> </v>
      </c>
      <c r="N168" s="29" t="str">
        <f>IF('E-Barrows'!A168&lt;'Adj-Barrows'!$B$10,1/L168," ")</f>
        <v xml:space="preserve"> </v>
      </c>
      <c r="P168" s="30" t="str">
        <f t="shared" si="10"/>
        <v/>
      </c>
      <c r="Q168" s="30" t="str">
        <f t="shared" si="11"/>
        <v/>
      </c>
      <c r="R168" s="30" t="str">
        <f t="shared" si="12"/>
        <v/>
      </c>
    </row>
    <row r="169" spans="1:18" x14ac:dyDescent="0.25">
      <c r="A169" s="27" t="str">
        <f>IF('E-Barrows'!A169&lt;'Adj-Barrows'!$B$10,'E-Barrows'!B169," ")</f>
        <v xml:space="preserve"> </v>
      </c>
      <c r="B169" s="25" t="str">
        <f>IF('E-Barrows'!A169&lt;'Adj-Barrows'!$B$10,'E-Barrows'!A169," ")</f>
        <v xml:space="preserve"> </v>
      </c>
      <c r="C169" s="25" t="str">
        <f>IF('E-Barrows'!A169&lt;'Adj-Barrows'!$B$10,'E-Barrows'!C169," ")</f>
        <v xml:space="preserve"> </v>
      </c>
      <c r="D169" s="27" t="str">
        <f>IF('E-Barrows'!A169&lt;'Adj-Barrows'!$B$10,'E-Barrows'!G169," ")</f>
        <v xml:space="preserve"> </v>
      </c>
      <c r="E169" s="26" t="str">
        <f>IF('E-Barrows'!A169&lt;'Adj-Barrows'!$B$10,'E-Barrows'!D169," ")</f>
        <v xml:space="preserve"> </v>
      </c>
      <c r="F169" s="26"/>
      <c r="G169" s="216" t="str">
        <f t="shared" si="9"/>
        <v xml:space="preserve"> </v>
      </c>
      <c r="H169" s="27" t="str">
        <f>IF('E-Barrows'!A169&lt;'Adj-Barrows'!$B$10,'E-Barrows'!I169," ")</f>
        <v xml:space="preserve"> </v>
      </c>
      <c r="I169" s="217" t="str">
        <f>IF('E-Barrows'!A169&lt;'Adj-Barrows'!$B$10,'E-Barrows'!A169," ")</f>
        <v xml:space="preserve"> </v>
      </c>
      <c r="J169" s="25" t="str">
        <f>IF('E-Barrows'!A169&lt;'Adj-Barrows'!$B$10,'E-Barrows'!J169," ")</f>
        <v xml:space="preserve"> </v>
      </c>
      <c r="K169" s="27" t="str">
        <f>IF('E-Barrows'!A169&lt;'Adj-Barrows'!$B$10,'E-Barrows'!N169," ")</f>
        <v xml:space="preserve"> </v>
      </c>
      <c r="L169" s="26" t="str">
        <f>IF('E-Barrows'!A169&lt;'Adj-Barrows'!$B$10,'E-Barrows'!K169," ")</f>
        <v xml:space="preserve"> </v>
      </c>
      <c r="M169" s="27" t="str">
        <f>IF('E-Barrows'!A169&lt;'Adj-Barrows'!$B$10,'E-Barrows'!M169," ")</f>
        <v xml:space="preserve"> </v>
      </c>
      <c r="N169" s="29" t="str">
        <f>IF('E-Barrows'!A169&lt;'Adj-Barrows'!$B$10,1/L169," ")</f>
        <v xml:space="preserve"> </v>
      </c>
      <c r="P169" s="30" t="str">
        <f t="shared" si="10"/>
        <v/>
      </c>
      <c r="Q169" s="30" t="str">
        <f t="shared" si="11"/>
        <v/>
      </c>
      <c r="R169" s="30" t="str">
        <f t="shared" si="12"/>
        <v/>
      </c>
    </row>
    <row r="170" spans="1:18" x14ac:dyDescent="0.25">
      <c r="A170" s="27" t="str">
        <f>IF('E-Barrows'!A170&lt;'Adj-Barrows'!$B$10,'E-Barrows'!B170," ")</f>
        <v xml:space="preserve"> </v>
      </c>
      <c r="B170" s="25" t="str">
        <f>IF('E-Barrows'!A170&lt;'Adj-Barrows'!$B$10,'E-Barrows'!A170," ")</f>
        <v xml:space="preserve"> </v>
      </c>
      <c r="C170" s="25" t="str">
        <f>IF('E-Barrows'!A170&lt;'Adj-Barrows'!$B$10,'E-Barrows'!C170," ")</f>
        <v xml:space="preserve"> </v>
      </c>
      <c r="D170" s="27" t="str">
        <f>IF('E-Barrows'!A170&lt;'Adj-Barrows'!$B$10,'E-Barrows'!G170," ")</f>
        <v xml:space="preserve"> </v>
      </c>
      <c r="E170" s="26" t="str">
        <f>IF('E-Barrows'!A170&lt;'Adj-Barrows'!$B$10,'E-Barrows'!D170," ")</f>
        <v xml:space="preserve"> </v>
      </c>
      <c r="F170" s="26"/>
      <c r="G170" s="216" t="str">
        <f t="shared" si="9"/>
        <v xml:space="preserve"> </v>
      </c>
      <c r="H170" s="27" t="str">
        <f>IF('E-Barrows'!A170&lt;'Adj-Barrows'!$B$10,'E-Barrows'!I170," ")</f>
        <v xml:space="preserve"> </v>
      </c>
      <c r="I170" s="217" t="str">
        <f>IF('E-Barrows'!A170&lt;'Adj-Barrows'!$B$10,'E-Barrows'!A170," ")</f>
        <v xml:space="preserve"> </v>
      </c>
      <c r="J170" s="25" t="str">
        <f>IF('E-Barrows'!A170&lt;'Adj-Barrows'!$B$10,'E-Barrows'!J170," ")</f>
        <v xml:space="preserve"> </v>
      </c>
      <c r="K170" s="27" t="str">
        <f>IF('E-Barrows'!A170&lt;'Adj-Barrows'!$B$10,'E-Barrows'!N170," ")</f>
        <v xml:space="preserve"> </v>
      </c>
      <c r="L170" s="26" t="str">
        <f>IF('E-Barrows'!A170&lt;'Adj-Barrows'!$B$10,'E-Barrows'!K170," ")</f>
        <v xml:space="preserve"> </v>
      </c>
      <c r="M170" s="27" t="str">
        <f>IF('E-Barrows'!A170&lt;'Adj-Barrows'!$B$10,'E-Barrows'!M170," ")</f>
        <v xml:space="preserve"> </v>
      </c>
      <c r="N170" s="29" t="str">
        <f>IF('E-Barrows'!A170&lt;'Adj-Barrows'!$B$10,1/L170," ")</f>
        <v xml:space="preserve"> </v>
      </c>
      <c r="P170" s="30" t="str">
        <f t="shared" si="10"/>
        <v/>
      </c>
      <c r="Q170" s="30" t="str">
        <f t="shared" si="11"/>
        <v/>
      </c>
      <c r="R170" s="30" t="str">
        <f t="shared" si="12"/>
        <v/>
      </c>
    </row>
    <row r="171" spans="1:18" x14ac:dyDescent="0.25">
      <c r="A171" s="27" t="str">
        <f>IF('E-Barrows'!A171&lt;'Adj-Barrows'!$B$10,'E-Barrows'!B171," ")</f>
        <v xml:space="preserve"> </v>
      </c>
      <c r="B171" s="25" t="str">
        <f>IF('E-Barrows'!A171&lt;'Adj-Barrows'!$B$10,'E-Barrows'!A171," ")</f>
        <v xml:space="preserve"> </v>
      </c>
      <c r="C171" s="25" t="str">
        <f>IF('E-Barrows'!A171&lt;'Adj-Barrows'!$B$10,'E-Barrows'!C171," ")</f>
        <v xml:space="preserve"> </v>
      </c>
      <c r="D171" s="27" t="str">
        <f>IF('E-Barrows'!A171&lt;'Adj-Barrows'!$B$10,'E-Barrows'!G171," ")</f>
        <v xml:space="preserve"> </v>
      </c>
      <c r="E171" s="26" t="str">
        <f>IF('E-Barrows'!A171&lt;'Adj-Barrows'!$B$10,'E-Barrows'!D171," ")</f>
        <v xml:space="preserve"> </v>
      </c>
      <c r="F171" s="26"/>
      <c r="G171" s="216" t="str">
        <f t="shared" si="9"/>
        <v xml:space="preserve"> </v>
      </c>
      <c r="H171" s="27" t="str">
        <f>IF('E-Barrows'!A171&lt;'Adj-Barrows'!$B$10,'E-Barrows'!I171," ")</f>
        <v xml:space="preserve"> </v>
      </c>
      <c r="I171" s="217" t="str">
        <f>IF('E-Barrows'!A171&lt;'Adj-Barrows'!$B$10,'E-Barrows'!A171," ")</f>
        <v xml:space="preserve"> </v>
      </c>
      <c r="J171" s="25" t="str">
        <f>IF('E-Barrows'!A171&lt;'Adj-Barrows'!$B$10,'E-Barrows'!J171," ")</f>
        <v xml:space="preserve"> </v>
      </c>
      <c r="K171" s="27" t="str">
        <f>IF('E-Barrows'!A171&lt;'Adj-Barrows'!$B$10,'E-Barrows'!N171," ")</f>
        <v xml:space="preserve"> </v>
      </c>
      <c r="L171" s="26" t="str">
        <f>IF('E-Barrows'!A171&lt;'Adj-Barrows'!$B$10,'E-Barrows'!K171," ")</f>
        <v xml:space="preserve"> </v>
      </c>
      <c r="M171" s="27" t="str">
        <f>IF('E-Barrows'!A171&lt;'Adj-Barrows'!$B$10,'E-Barrows'!M171," ")</f>
        <v xml:space="preserve"> </v>
      </c>
      <c r="N171" s="29" t="str">
        <f>IF('E-Barrows'!A171&lt;'Adj-Barrows'!$B$10,1/L171," ")</f>
        <v xml:space="preserve"> </v>
      </c>
      <c r="P171" s="30" t="str">
        <f t="shared" si="10"/>
        <v/>
      </c>
      <c r="Q171" s="30" t="str">
        <f t="shared" si="11"/>
        <v/>
      </c>
      <c r="R171" s="30" t="str">
        <f t="shared" si="12"/>
        <v/>
      </c>
    </row>
    <row r="172" spans="1:18" x14ac:dyDescent="0.25">
      <c r="A172" s="27" t="str">
        <f>IF('E-Barrows'!A172&lt;'Adj-Barrows'!$B$10,'E-Barrows'!B172," ")</f>
        <v xml:space="preserve"> </v>
      </c>
      <c r="B172" s="25" t="str">
        <f>IF('E-Barrows'!A172&lt;'Adj-Barrows'!$B$10,'E-Barrows'!A172," ")</f>
        <v xml:space="preserve"> </v>
      </c>
      <c r="C172" s="25" t="str">
        <f>IF('E-Barrows'!A172&lt;'Adj-Barrows'!$B$10,'E-Barrows'!C172," ")</f>
        <v xml:space="preserve"> </v>
      </c>
      <c r="D172" s="27" t="str">
        <f>IF('E-Barrows'!A172&lt;'Adj-Barrows'!$B$10,'E-Barrows'!G172," ")</f>
        <v xml:space="preserve"> </v>
      </c>
      <c r="E172" s="26" t="str">
        <f>IF('E-Barrows'!A172&lt;'Adj-Barrows'!$B$10,'E-Barrows'!D172," ")</f>
        <v xml:space="preserve"> </v>
      </c>
      <c r="F172" s="26"/>
      <c r="G172" s="216" t="str">
        <f t="shared" si="9"/>
        <v xml:space="preserve"> </v>
      </c>
      <c r="H172" s="27" t="str">
        <f>IF('E-Barrows'!A172&lt;'Adj-Barrows'!$B$10,'E-Barrows'!I172," ")</f>
        <v xml:space="preserve"> </v>
      </c>
      <c r="I172" s="217" t="str">
        <f>IF('E-Barrows'!A172&lt;'Adj-Barrows'!$B$10,'E-Barrows'!A172," ")</f>
        <v xml:space="preserve"> </v>
      </c>
      <c r="J172" s="25" t="str">
        <f>IF('E-Barrows'!A172&lt;'Adj-Barrows'!$B$10,'E-Barrows'!J172," ")</f>
        <v xml:space="preserve"> </v>
      </c>
      <c r="K172" s="27" t="str">
        <f>IF('E-Barrows'!A172&lt;'Adj-Barrows'!$B$10,'E-Barrows'!N172," ")</f>
        <v xml:space="preserve"> </v>
      </c>
      <c r="L172" s="26" t="str">
        <f>IF('E-Barrows'!A172&lt;'Adj-Barrows'!$B$10,'E-Barrows'!K172," ")</f>
        <v xml:space="preserve"> </v>
      </c>
      <c r="M172" s="27" t="str">
        <f>IF('E-Barrows'!A172&lt;'Adj-Barrows'!$B$10,'E-Barrows'!M172," ")</f>
        <v xml:space="preserve"> </v>
      </c>
      <c r="N172" s="29" t="str">
        <f>IF('E-Barrows'!A172&lt;'Adj-Barrows'!$B$10,1/L172," ")</f>
        <v xml:space="preserve"> </v>
      </c>
      <c r="P172" s="30" t="str">
        <f t="shared" si="10"/>
        <v/>
      </c>
      <c r="Q172" s="30" t="str">
        <f t="shared" si="11"/>
        <v/>
      </c>
      <c r="R172" s="30" t="str">
        <f t="shared" si="12"/>
        <v/>
      </c>
    </row>
    <row r="173" spans="1:18" x14ac:dyDescent="0.25">
      <c r="A173" s="27" t="str">
        <f>IF('E-Barrows'!A173&lt;'Adj-Barrows'!$B$10,'E-Barrows'!B173," ")</f>
        <v xml:space="preserve"> </v>
      </c>
      <c r="B173" s="25" t="str">
        <f>IF('E-Barrows'!A173&lt;'Adj-Barrows'!$B$10,'E-Barrows'!A173," ")</f>
        <v xml:space="preserve"> </v>
      </c>
      <c r="C173" s="25" t="str">
        <f>IF('E-Barrows'!A173&lt;'Adj-Barrows'!$B$10,'E-Barrows'!C173," ")</f>
        <v xml:space="preserve"> </v>
      </c>
      <c r="D173" s="27" t="str">
        <f>IF('E-Barrows'!A173&lt;'Adj-Barrows'!$B$10,'E-Barrows'!G173," ")</f>
        <v xml:space="preserve"> </v>
      </c>
      <c r="E173" s="26" t="str">
        <f>IF('E-Barrows'!A173&lt;'Adj-Barrows'!$B$10,'E-Barrows'!D173," ")</f>
        <v xml:space="preserve"> </v>
      </c>
      <c r="F173" s="26"/>
      <c r="G173" s="216" t="str">
        <f t="shared" si="9"/>
        <v xml:space="preserve"> </v>
      </c>
      <c r="H173" s="27" t="str">
        <f>IF('E-Barrows'!A173&lt;'Adj-Barrows'!$B$10,'E-Barrows'!I173," ")</f>
        <v xml:space="preserve"> </v>
      </c>
      <c r="I173" s="217" t="str">
        <f>IF('E-Barrows'!A173&lt;'Adj-Barrows'!$B$10,'E-Barrows'!A173," ")</f>
        <v xml:space="preserve"> </v>
      </c>
      <c r="J173" s="25" t="str">
        <f>IF('E-Barrows'!A173&lt;'Adj-Barrows'!$B$10,'E-Barrows'!J173," ")</f>
        <v xml:space="preserve"> </v>
      </c>
      <c r="K173" s="27" t="str">
        <f>IF('E-Barrows'!A173&lt;'Adj-Barrows'!$B$10,'E-Barrows'!N173," ")</f>
        <v xml:space="preserve"> </v>
      </c>
      <c r="L173" s="26" t="str">
        <f>IF('E-Barrows'!A173&lt;'Adj-Barrows'!$B$10,'E-Barrows'!K173," ")</f>
        <v xml:space="preserve"> </v>
      </c>
      <c r="M173" s="27" t="str">
        <f>IF('E-Barrows'!A173&lt;'Adj-Barrows'!$B$10,'E-Barrows'!M173," ")</f>
        <v xml:space="preserve"> </v>
      </c>
      <c r="N173" s="29" t="str">
        <f>IF('E-Barrows'!A173&lt;'Adj-Barrows'!$B$10,1/L173," ")</f>
        <v xml:space="preserve"> </v>
      </c>
      <c r="P173" s="30" t="str">
        <f t="shared" si="10"/>
        <v/>
      </c>
      <c r="Q173" s="30" t="str">
        <f t="shared" si="11"/>
        <v/>
      </c>
      <c r="R173" s="30" t="str">
        <f t="shared" si="12"/>
        <v/>
      </c>
    </row>
    <row r="174" spans="1:18" x14ac:dyDescent="0.25">
      <c r="A174" s="27" t="str">
        <f>IF('E-Barrows'!A174&lt;'Adj-Barrows'!$B$10,'E-Barrows'!B174," ")</f>
        <v xml:space="preserve"> </v>
      </c>
      <c r="B174" s="25" t="str">
        <f>IF('E-Barrows'!A174&lt;'Adj-Barrows'!$B$10,'E-Barrows'!A174," ")</f>
        <v xml:space="preserve"> </v>
      </c>
      <c r="C174" s="25" t="str">
        <f>IF('E-Barrows'!A174&lt;'Adj-Barrows'!$B$10,'E-Barrows'!C174," ")</f>
        <v xml:space="preserve"> </v>
      </c>
      <c r="D174" s="27" t="str">
        <f>IF('E-Barrows'!A174&lt;'Adj-Barrows'!$B$10,'E-Barrows'!G174," ")</f>
        <v xml:space="preserve"> </v>
      </c>
      <c r="E174" s="26" t="str">
        <f>IF('E-Barrows'!A174&lt;'Adj-Barrows'!$B$10,'E-Barrows'!D174," ")</f>
        <v xml:space="preserve"> </v>
      </c>
      <c r="F174" s="26"/>
      <c r="G174" s="216" t="str">
        <f t="shared" si="9"/>
        <v xml:space="preserve"> </v>
      </c>
      <c r="H174" s="27" t="str">
        <f>IF('E-Barrows'!A174&lt;'Adj-Barrows'!$B$10,'E-Barrows'!I174," ")</f>
        <v xml:space="preserve"> </v>
      </c>
      <c r="I174" s="217" t="str">
        <f>IF('E-Barrows'!A174&lt;'Adj-Barrows'!$B$10,'E-Barrows'!A174," ")</f>
        <v xml:space="preserve"> </v>
      </c>
      <c r="J174" s="25" t="str">
        <f>IF('E-Barrows'!A174&lt;'Adj-Barrows'!$B$10,'E-Barrows'!J174," ")</f>
        <v xml:space="preserve"> </v>
      </c>
      <c r="K174" s="27" t="str">
        <f>IF('E-Barrows'!A174&lt;'Adj-Barrows'!$B$10,'E-Barrows'!N174," ")</f>
        <v xml:space="preserve"> </v>
      </c>
      <c r="L174" s="26" t="str">
        <f>IF('E-Barrows'!A174&lt;'Adj-Barrows'!$B$10,'E-Barrows'!K174," ")</f>
        <v xml:space="preserve"> </v>
      </c>
      <c r="M174" s="27" t="str">
        <f>IF('E-Barrows'!A174&lt;'Adj-Barrows'!$B$10,'E-Barrows'!M174," ")</f>
        <v xml:space="preserve"> </v>
      </c>
      <c r="N174" s="29" t="str">
        <f>IF('E-Barrows'!A174&lt;'Adj-Barrows'!$B$10,1/L174," ")</f>
        <v xml:space="preserve"> </v>
      </c>
      <c r="P174" s="30" t="str">
        <f t="shared" si="10"/>
        <v/>
      </c>
      <c r="Q174" s="30" t="str">
        <f t="shared" si="11"/>
        <v/>
      </c>
      <c r="R174" s="30" t="str">
        <f t="shared" si="12"/>
        <v/>
      </c>
    </row>
    <row r="175" spans="1:18" x14ac:dyDescent="0.25">
      <c r="A175" s="27" t="str">
        <f>IF('E-Barrows'!A175&lt;'Adj-Barrows'!$B$10,'E-Barrows'!B175," ")</f>
        <v xml:space="preserve"> </v>
      </c>
      <c r="B175" s="25" t="str">
        <f>IF('E-Barrows'!A175&lt;'Adj-Barrows'!$B$10,'E-Barrows'!A175," ")</f>
        <v xml:space="preserve"> </v>
      </c>
      <c r="C175" s="25" t="str">
        <f>IF('E-Barrows'!A175&lt;'Adj-Barrows'!$B$10,'E-Barrows'!C175," ")</f>
        <v xml:space="preserve"> </v>
      </c>
      <c r="D175" s="27" t="str">
        <f>IF('E-Barrows'!A175&lt;'Adj-Barrows'!$B$10,'E-Barrows'!G175," ")</f>
        <v xml:space="preserve"> </v>
      </c>
      <c r="E175" s="26" t="str">
        <f>IF('E-Barrows'!A175&lt;'Adj-Barrows'!$B$10,'E-Barrows'!D175," ")</f>
        <v xml:space="preserve"> </v>
      </c>
      <c r="F175" s="26"/>
      <c r="G175" s="216" t="str">
        <f t="shared" si="9"/>
        <v xml:space="preserve"> </v>
      </c>
      <c r="H175" s="27" t="str">
        <f>IF('E-Barrows'!A175&lt;'Adj-Barrows'!$B$10,'E-Barrows'!I175," ")</f>
        <v xml:space="preserve"> </v>
      </c>
      <c r="I175" s="217" t="str">
        <f>IF('E-Barrows'!A175&lt;'Adj-Barrows'!$B$10,'E-Barrows'!A175," ")</f>
        <v xml:space="preserve"> </v>
      </c>
      <c r="J175" s="25" t="str">
        <f>IF('E-Barrows'!A175&lt;'Adj-Barrows'!$B$10,'E-Barrows'!J175," ")</f>
        <v xml:space="preserve"> </v>
      </c>
      <c r="K175" s="27" t="str">
        <f>IF('E-Barrows'!A175&lt;'Adj-Barrows'!$B$10,'E-Barrows'!N175," ")</f>
        <v xml:space="preserve"> </v>
      </c>
      <c r="L175" s="26" t="str">
        <f>IF('E-Barrows'!A175&lt;'Adj-Barrows'!$B$10,'E-Barrows'!K175," ")</f>
        <v xml:space="preserve"> </v>
      </c>
      <c r="M175" s="27" t="str">
        <f>IF('E-Barrows'!A175&lt;'Adj-Barrows'!$B$10,'E-Barrows'!M175," ")</f>
        <v xml:space="preserve"> </v>
      </c>
      <c r="N175" s="29" t="str">
        <f>IF('E-Barrows'!A175&lt;'Adj-Barrows'!$B$10,1/L175," ")</f>
        <v xml:space="preserve"> </v>
      </c>
      <c r="P175" s="30" t="str">
        <f t="shared" si="10"/>
        <v/>
      </c>
      <c r="Q175" s="30" t="str">
        <f t="shared" si="11"/>
        <v/>
      </c>
      <c r="R175" s="30" t="str">
        <f t="shared" si="12"/>
        <v/>
      </c>
    </row>
    <row r="176" spans="1:18" x14ac:dyDescent="0.25">
      <c r="A176" s="27" t="str">
        <f>IF('E-Barrows'!A176&lt;'Adj-Barrows'!$B$10,'E-Barrows'!B176," ")</f>
        <v xml:space="preserve"> </v>
      </c>
      <c r="B176" s="25" t="str">
        <f>IF('E-Barrows'!A176&lt;'Adj-Barrows'!$B$10,'E-Barrows'!A176," ")</f>
        <v xml:space="preserve"> </v>
      </c>
      <c r="C176" s="25" t="str">
        <f>IF('E-Barrows'!A176&lt;'Adj-Barrows'!$B$10,'E-Barrows'!C176," ")</f>
        <v xml:space="preserve"> </v>
      </c>
      <c r="D176" s="27" t="str">
        <f>IF('E-Barrows'!A176&lt;'Adj-Barrows'!$B$10,'E-Barrows'!G176," ")</f>
        <v xml:space="preserve"> </v>
      </c>
      <c r="E176" s="26" t="str">
        <f>IF('E-Barrows'!A176&lt;'Adj-Barrows'!$B$10,'E-Barrows'!D176," ")</f>
        <v xml:space="preserve"> </v>
      </c>
      <c r="F176" s="26"/>
      <c r="G176" s="216" t="str">
        <f t="shared" si="9"/>
        <v xml:space="preserve"> </v>
      </c>
      <c r="H176" s="27" t="str">
        <f>IF('E-Barrows'!A176&lt;'Adj-Barrows'!$B$10,'E-Barrows'!I176," ")</f>
        <v xml:space="preserve"> </v>
      </c>
      <c r="I176" s="217" t="str">
        <f>IF('E-Barrows'!A176&lt;'Adj-Barrows'!$B$10,'E-Barrows'!A176," ")</f>
        <v xml:space="preserve"> </v>
      </c>
      <c r="J176" s="25" t="str">
        <f>IF('E-Barrows'!A176&lt;'Adj-Barrows'!$B$10,'E-Barrows'!J176," ")</f>
        <v xml:space="preserve"> </v>
      </c>
      <c r="K176" s="27" t="str">
        <f>IF('E-Barrows'!A176&lt;'Adj-Barrows'!$B$10,'E-Barrows'!N176," ")</f>
        <v xml:space="preserve"> </v>
      </c>
      <c r="L176" s="26" t="str">
        <f>IF('E-Barrows'!A176&lt;'Adj-Barrows'!$B$10,'E-Barrows'!K176," ")</f>
        <v xml:space="preserve"> </v>
      </c>
      <c r="M176" s="27" t="str">
        <f>IF('E-Barrows'!A176&lt;'Adj-Barrows'!$B$10,'E-Barrows'!M176," ")</f>
        <v xml:space="preserve"> </v>
      </c>
      <c r="N176" s="29" t="str">
        <f>IF('E-Barrows'!A176&lt;'Adj-Barrows'!$B$10,1/L176," ")</f>
        <v xml:space="preserve"> </v>
      </c>
      <c r="P176" s="30" t="str">
        <f t="shared" si="10"/>
        <v/>
      </c>
      <c r="Q176" s="30" t="str">
        <f t="shared" si="11"/>
        <v/>
      </c>
      <c r="R176" s="30" t="str">
        <f t="shared" si="12"/>
        <v/>
      </c>
    </row>
    <row r="177" spans="1:18" x14ac:dyDescent="0.25">
      <c r="A177" s="27" t="str">
        <f>IF('E-Barrows'!A177&lt;'Adj-Barrows'!$B$10,'E-Barrows'!B177," ")</f>
        <v xml:space="preserve"> </v>
      </c>
      <c r="B177" s="25" t="str">
        <f>IF('E-Barrows'!A177&lt;'Adj-Barrows'!$B$10,'E-Barrows'!A177," ")</f>
        <v xml:space="preserve"> </v>
      </c>
      <c r="C177" s="25" t="str">
        <f>IF('E-Barrows'!A177&lt;'Adj-Barrows'!$B$10,'E-Barrows'!C177," ")</f>
        <v xml:space="preserve"> </v>
      </c>
      <c r="D177" s="27" t="str">
        <f>IF('E-Barrows'!A177&lt;'Adj-Barrows'!$B$10,'E-Barrows'!G177," ")</f>
        <v xml:space="preserve"> </v>
      </c>
      <c r="E177" s="26" t="str">
        <f>IF('E-Barrows'!A177&lt;'Adj-Barrows'!$B$10,'E-Barrows'!D177," ")</f>
        <v xml:space="preserve"> </v>
      </c>
      <c r="F177" s="26"/>
      <c r="G177" s="216" t="str">
        <f t="shared" si="9"/>
        <v xml:space="preserve"> </v>
      </c>
      <c r="H177" s="27" t="str">
        <f>IF('E-Barrows'!A177&lt;'Adj-Barrows'!$B$10,'E-Barrows'!I177," ")</f>
        <v xml:space="preserve"> </v>
      </c>
      <c r="I177" s="217" t="str">
        <f>IF('E-Barrows'!A177&lt;'Adj-Barrows'!$B$10,'E-Barrows'!A177," ")</f>
        <v xml:space="preserve"> </v>
      </c>
      <c r="J177" s="25" t="str">
        <f>IF('E-Barrows'!A177&lt;'Adj-Barrows'!$B$10,'E-Barrows'!J177," ")</f>
        <v xml:space="preserve"> </v>
      </c>
      <c r="K177" s="27" t="str">
        <f>IF('E-Barrows'!A177&lt;'Adj-Barrows'!$B$10,'E-Barrows'!N177," ")</f>
        <v xml:space="preserve"> </v>
      </c>
      <c r="L177" s="26" t="str">
        <f>IF('E-Barrows'!A177&lt;'Adj-Barrows'!$B$10,'E-Barrows'!K177," ")</f>
        <v xml:space="preserve"> </v>
      </c>
      <c r="M177" s="27" t="str">
        <f>IF('E-Barrows'!A177&lt;'Adj-Barrows'!$B$10,'E-Barrows'!M177," ")</f>
        <v xml:space="preserve"> </v>
      </c>
      <c r="N177" s="29" t="str">
        <f>IF('E-Barrows'!A177&lt;'Adj-Barrows'!$B$10,1/L177," ")</f>
        <v xml:space="preserve"> </v>
      </c>
      <c r="P177" s="30" t="str">
        <f t="shared" si="10"/>
        <v/>
      </c>
      <c r="Q177" s="30" t="str">
        <f t="shared" si="11"/>
        <v/>
      </c>
      <c r="R177" s="30" t="str">
        <f t="shared" si="12"/>
        <v/>
      </c>
    </row>
    <row r="178" spans="1:18" x14ac:dyDescent="0.25">
      <c r="A178" s="27" t="str">
        <f>IF('E-Barrows'!A178&lt;'Adj-Barrows'!$B$10,'E-Barrows'!B178," ")</f>
        <v xml:space="preserve"> </v>
      </c>
      <c r="B178" s="25" t="str">
        <f>IF('E-Barrows'!A178&lt;'Adj-Barrows'!$B$10,'E-Barrows'!A178," ")</f>
        <v xml:space="preserve"> </v>
      </c>
      <c r="C178" s="25" t="str">
        <f>IF('E-Barrows'!A178&lt;'Adj-Barrows'!$B$10,'E-Barrows'!C178," ")</f>
        <v xml:space="preserve"> </v>
      </c>
      <c r="D178" s="27" t="str">
        <f>IF('E-Barrows'!A178&lt;'Adj-Barrows'!$B$10,'E-Barrows'!G178," ")</f>
        <v xml:space="preserve"> </v>
      </c>
      <c r="E178" s="26" t="str">
        <f>IF('E-Barrows'!A178&lt;'Adj-Barrows'!$B$10,'E-Barrows'!D178," ")</f>
        <v xml:space="preserve"> </v>
      </c>
      <c r="F178" s="26"/>
      <c r="G178" s="216" t="str">
        <f t="shared" si="9"/>
        <v xml:space="preserve"> </v>
      </c>
      <c r="H178" s="27" t="str">
        <f>IF('E-Barrows'!A178&lt;'Adj-Barrows'!$B$10,'E-Barrows'!I178," ")</f>
        <v xml:space="preserve"> </v>
      </c>
      <c r="I178" s="217" t="str">
        <f>IF('E-Barrows'!A178&lt;'Adj-Barrows'!$B$10,'E-Barrows'!A178," ")</f>
        <v xml:space="preserve"> </v>
      </c>
      <c r="J178" s="25" t="str">
        <f>IF('E-Barrows'!A178&lt;'Adj-Barrows'!$B$10,'E-Barrows'!J178," ")</f>
        <v xml:space="preserve"> </v>
      </c>
      <c r="K178" s="27" t="str">
        <f>IF('E-Barrows'!A178&lt;'Adj-Barrows'!$B$10,'E-Barrows'!N178," ")</f>
        <v xml:space="preserve"> </v>
      </c>
      <c r="L178" s="26" t="str">
        <f>IF('E-Barrows'!A178&lt;'Adj-Barrows'!$B$10,'E-Barrows'!K178," ")</f>
        <v xml:space="preserve"> </v>
      </c>
      <c r="M178" s="27" t="str">
        <f>IF('E-Barrows'!A178&lt;'Adj-Barrows'!$B$10,'E-Barrows'!M178," ")</f>
        <v xml:space="preserve"> </v>
      </c>
      <c r="N178" s="29" t="str">
        <f>IF('E-Barrows'!A178&lt;'Adj-Barrows'!$B$10,1/L178," ")</f>
        <v xml:space="preserve"> </v>
      </c>
      <c r="P178" s="30" t="str">
        <f t="shared" si="10"/>
        <v/>
      </c>
      <c r="Q178" s="30" t="str">
        <f t="shared" si="11"/>
        <v/>
      </c>
      <c r="R178" s="30" t="str">
        <f t="shared" si="12"/>
        <v/>
      </c>
    </row>
    <row r="179" spans="1:18" x14ac:dyDescent="0.25">
      <c r="A179" s="27" t="str">
        <f>IF('E-Barrows'!A179&lt;'Adj-Barrows'!$B$10,'E-Barrows'!B179," ")</f>
        <v xml:space="preserve"> </v>
      </c>
      <c r="B179" s="25" t="str">
        <f>IF('E-Barrows'!A179&lt;'Adj-Barrows'!$B$10,'E-Barrows'!A179," ")</f>
        <v xml:space="preserve"> </v>
      </c>
      <c r="C179" s="25" t="str">
        <f>IF('E-Barrows'!A179&lt;'Adj-Barrows'!$B$10,'E-Barrows'!C179," ")</f>
        <v xml:space="preserve"> </v>
      </c>
      <c r="D179" s="27" t="str">
        <f>IF('E-Barrows'!A179&lt;'Adj-Barrows'!$B$10,'E-Barrows'!G179," ")</f>
        <v xml:space="preserve"> </v>
      </c>
      <c r="E179" s="26" t="str">
        <f>IF('E-Barrows'!A179&lt;'Adj-Barrows'!$B$10,'E-Barrows'!D179," ")</f>
        <v xml:space="preserve"> </v>
      </c>
      <c r="F179" s="26"/>
      <c r="G179" s="216" t="str">
        <f t="shared" si="9"/>
        <v xml:space="preserve"> </v>
      </c>
      <c r="H179" s="27" t="str">
        <f>IF('E-Barrows'!A179&lt;'Adj-Barrows'!$B$10,'E-Barrows'!I179," ")</f>
        <v xml:space="preserve"> </v>
      </c>
      <c r="I179" s="217" t="str">
        <f>IF('E-Barrows'!A179&lt;'Adj-Barrows'!$B$10,'E-Barrows'!A179," ")</f>
        <v xml:space="preserve"> </v>
      </c>
      <c r="J179" s="25" t="str">
        <f>IF('E-Barrows'!A179&lt;'Adj-Barrows'!$B$10,'E-Barrows'!J179," ")</f>
        <v xml:space="preserve"> </v>
      </c>
      <c r="K179" s="27" t="str">
        <f>IF('E-Barrows'!A179&lt;'Adj-Barrows'!$B$10,'E-Barrows'!N179," ")</f>
        <v xml:space="preserve"> </v>
      </c>
      <c r="L179" s="26" t="str">
        <f>IF('E-Barrows'!A179&lt;'Adj-Barrows'!$B$10,'E-Barrows'!K179," ")</f>
        <v xml:space="preserve"> </v>
      </c>
      <c r="M179" s="27" t="str">
        <f>IF('E-Barrows'!A179&lt;'Adj-Barrows'!$B$10,'E-Barrows'!M179," ")</f>
        <v xml:space="preserve"> </v>
      </c>
      <c r="N179" s="29" t="str">
        <f>IF('E-Barrows'!A179&lt;'Adj-Barrows'!$B$10,1/L179," ")</f>
        <v xml:space="preserve"> </v>
      </c>
      <c r="P179" s="30" t="str">
        <f t="shared" si="10"/>
        <v/>
      </c>
      <c r="Q179" s="30" t="str">
        <f t="shared" si="11"/>
        <v/>
      </c>
      <c r="R179" s="30" t="str">
        <f t="shared" si="12"/>
        <v/>
      </c>
    </row>
    <row r="180" spans="1:18" x14ac:dyDescent="0.25">
      <c r="A180" s="27" t="str">
        <f>IF('E-Barrows'!A180&lt;'Adj-Barrows'!$B$10,'E-Barrows'!B180," ")</f>
        <v xml:space="preserve"> </v>
      </c>
      <c r="B180" s="25" t="str">
        <f>IF('E-Barrows'!A180&lt;'Adj-Barrows'!$B$10,'E-Barrows'!A180," ")</f>
        <v xml:space="preserve"> </v>
      </c>
      <c r="C180" s="25" t="str">
        <f>IF('E-Barrows'!A180&lt;'Adj-Barrows'!$B$10,'E-Barrows'!C180," ")</f>
        <v xml:space="preserve"> </v>
      </c>
      <c r="D180" s="27" t="str">
        <f>IF('E-Barrows'!A180&lt;'Adj-Barrows'!$B$10,'E-Barrows'!G180," ")</f>
        <v xml:space="preserve"> </v>
      </c>
      <c r="E180" s="26" t="str">
        <f>IF('E-Barrows'!A180&lt;'Adj-Barrows'!$B$10,'E-Barrows'!D180," ")</f>
        <v xml:space="preserve"> </v>
      </c>
      <c r="F180" s="26"/>
      <c r="G180" s="216" t="str">
        <f t="shared" si="9"/>
        <v xml:space="preserve"> </v>
      </c>
      <c r="H180" s="27" t="str">
        <f>IF('E-Barrows'!A180&lt;'Adj-Barrows'!$B$10,'E-Barrows'!I180," ")</f>
        <v xml:space="preserve"> </v>
      </c>
      <c r="I180" s="217" t="str">
        <f>IF('E-Barrows'!A180&lt;'Adj-Barrows'!$B$10,'E-Barrows'!A180," ")</f>
        <v xml:space="preserve"> </v>
      </c>
      <c r="J180" s="25" t="str">
        <f>IF('E-Barrows'!A180&lt;'Adj-Barrows'!$B$10,'E-Barrows'!J180," ")</f>
        <v xml:space="preserve"> </v>
      </c>
      <c r="K180" s="27" t="str">
        <f>IF('E-Barrows'!A180&lt;'Adj-Barrows'!$B$10,'E-Barrows'!N180," ")</f>
        <v xml:space="preserve"> </v>
      </c>
      <c r="L180" s="26" t="str">
        <f>IF('E-Barrows'!A180&lt;'Adj-Barrows'!$B$10,'E-Barrows'!K180," ")</f>
        <v xml:space="preserve"> </v>
      </c>
      <c r="M180" s="27" t="str">
        <f>IF('E-Barrows'!A180&lt;'Adj-Barrows'!$B$10,'E-Barrows'!M180," ")</f>
        <v xml:space="preserve"> </v>
      </c>
      <c r="N180" s="29" t="str">
        <f>IF('E-Barrows'!A180&lt;'Adj-Barrows'!$B$10,1/L180," ")</f>
        <v xml:space="preserve"> </v>
      </c>
      <c r="P180" s="30" t="str">
        <f t="shared" si="10"/>
        <v/>
      </c>
      <c r="Q180" s="30" t="str">
        <f t="shared" si="11"/>
        <v/>
      </c>
      <c r="R180" s="30" t="str">
        <f t="shared" si="12"/>
        <v/>
      </c>
    </row>
    <row r="181" spans="1:18" x14ac:dyDescent="0.25">
      <c r="A181" s="27" t="str">
        <f>IF('E-Barrows'!A181&lt;'Adj-Barrows'!$B$10,'E-Barrows'!B181," ")</f>
        <v xml:space="preserve"> </v>
      </c>
      <c r="B181" s="25" t="str">
        <f>IF('E-Barrows'!A181&lt;'Adj-Barrows'!$B$10,'E-Barrows'!A181," ")</f>
        <v xml:space="preserve"> </v>
      </c>
      <c r="C181" s="25" t="str">
        <f>IF('E-Barrows'!A181&lt;'Adj-Barrows'!$B$10,'E-Barrows'!C181," ")</f>
        <v xml:space="preserve"> </v>
      </c>
      <c r="D181" s="27" t="str">
        <f>IF('E-Barrows'!A181&lt;'Adj-Barrows'!$B$10,'E-Barrows'!G181," ")</f>
        <v xml:space="preserve"> </v>
      </c>
      <c r="E181" s="26" t="str">
        <f>IF('E-Barrows'!A181&lt;'Adj-Barrows'!$B$10,'E-Barrows'!D181," ")</f>
        <v xml:space="preserve"> </v>
      </c>
      <c r="F181" s="26"/>
      <c r="G181" s="216" t="str">
        <f t="shared" si="9"/>
        <v xml:space="preserve"> </v>
      </c>
      <c r="H181" s="27" t="str">
        <f>IF('E-Barrows'!A181&lt;'Adj-Barrows'!$B$10,'E-Barrows'!I181," ")</f>
        <v xml:space="preserve"> </v>
      </c>
      <c r="I181" s="217" t="str">
        <f>IF('E-Barrows'!A181&lt;'Adj-Barrows'!$B$10,'E-Barrows'!A181," ")</f>
        <v xml:space="preserve"> </v>
      </c>
      <c r="J181" s="25" t="str">
        <f>IF('E-Barrows'!A181&lt;'Adj-Barrows'!$B$10,'E-Barrows'!J181," ")</f>
        <v xml:space="preserve"> </v>
      </c>
      <c r="K181" s="27" t="str">
        <f>IF('E-Barrows'!A181&lt;'Adj-Barrows'!$B$10,'E-Barrows'!N181," ")</f>
        <v xml:space="preserve"> </v>
      </c>
      <c r="L181" s="26" t="str">
        <f>IF('E-Barrows'!A181&lt;'Adj-Barrows'!$B$10,'E-Barrows'!K181," ")</f>
        <v xml:space="preserve"> </v>
      </c>
      <c r="M181" s="27" t="str">
        <f>IF('E-Barrows'!A181&lt;'Adj-Barrows'!$B$10,'E-Barrows'!M181," ")</f>
        <v xml:space="preserve"> </v>
      </c>
      <c r="N181" s="29" t="str">
        <f>IF('E-Barrows'!A181&lt;'Adj-Barrows'!$B$10,1/L181," ")</f>
        <v xml:space="preserve"> </v>
      </c>
      <c r="P181" s="30" t="str">
        <f t="shared" si="10"/>
        <v/>
      </c>
      <c r="Q181" s="30" t="str">
        <f t="shared" si="11"/>
        <v/>
      </c>
      <c r="R181" s="30" t="str">
        <f t="shared" si="12"/>
        <v/>
      </c>
    </row>
    <row r="182" spans="1:18" x14ac:dyDescent="0.25">
      <c r="A182" s="27" t="str">
        <f>IF('E-Barrows'!A182&lt;'Adj-Barrows'!$B$10,'E-Barrows'!B182," ")</f>
        <v xml:space="preserve"> </v>
      </c>
      <c r="B182" s="25" t="str">
        <f>IF('E-Barrows'!A182&lt;'Adj-Barrows'!$B$10,'E-Barrows'!A182," ")</f>
        <v xml:space="preserve"> </v>
      </c>
      <c r="C182" s="25" t="str">
        <f>IF('E-Barrows'!A182&lt;'Adj-Barrows'!$B$10,'E-Barrows'!C182," ")</f>
        <v xml:space="preserve"> </v>
      </c>
      <c r="D182" s="27" t="str">
        <f>IF('E-Barrows'!A182&lt;'Adj-Barrows'!$B$10,'E-Barrows'!G182," ")</f>
        <v xml:space="preserve"> </v>
      </c>
      <c r="E182" s="26" t="str">
        <f>IF('E-Barrows'!A182&lt;'Adj-Barrows'!$B$10,'E-Barrows'!D182," ")</f>
        <v xml:space="preserve"> </v>
      </c>
      <c r="F182" s="26"/>
      <c r="G182" s="216" t="str">
        <f t="shared" si="9"/>
        <v xml:space="preserve"> </v>
      </c>
      <c r="H182" s="27" t="str">
        <f>IF('E-Barrows'!A182&lt;'Adj-Barrows'!$B$10,'E-Barrows'!I182," ")</f>
        <v xml:space="preserve"> </v>
      </c>
      <c r="I182" s="217" t="str">
        <f>IF('E-Barrows'!A182&lt;'Adj-Barrows'!$B$10,'E-Barrows'!A182," ")</f>
        <v xml:space="preserve"> </v>
      </c>
      <c r="J182" s="25" t="str">
        <f>IF('E-Barrows'!A182&lt;'Adj-Barrows'!$B$10,'E-Barrows'!J182," ")</f>
        <v xml:space="preserve"> </v>
      </c>
      <c r="K182" s="27" t="str">
        <f>IF('E-Barrows'!A182&lt;'Adj-Barrows'!$B$10,'E-Barrows'!N182," ")</f>
        <v xml:space="preserve"> </v>
      </c>
      <c r="L182" s="26" t="str">
        <f>IF('E-Barrows'!A182&lt;'Adj-Barrows'!$B$10,'E-Barrows'!K182," ")</f>
        <v xml:space="preserve"> </v>
      </c>
      <c r="M182" s="27" t="str">
        <f>IF('E-Barrows'!A182&lt;'Adj-Barrows'!$B$10,'E-Barrows'!M182," ")</f>
        <v xml:space="preserve"> </v>
      </c>
      <c r="N182" s="29" t="str">
        <f>IF('E-Barrows'!A182&lt;'Adj-Barrows'!$B$10,1/L182," ")</f>
        <v xml:space="preserve"> </v>
      </c>
      <c r="P182" s="30" t="str">
        <f t="shared" si="10"/>
        <v/>
      </c>
      <c r="Q182" s="30" t="str">
        <f t="shared" si="11"/>
        <v/>
      </c>
      <c r="R182" s="30" t="str">
        <f t="shared" si="12"/>
        <v/>
      </c>
    </row>
    <row r="183" spans="1:18" x14ac:dyDescent="0.25">
      <c r="A183" s="27" t="str">
        <f>IF('E-Barrows'!A183&lt;'Adj-Barrows'!$B$10,'E-Barrows'!B183," ")</f>
        <v xml:space="preserve"> </v>
      </c>
      <c r="B183" s="25" t="str">
        <f>IF('E-Barrows'!A183&lt;'Adj-Barrows'!$B$10,'E-Barrows'!A183," ")</f>
        <v xml:space="preserve"> </v>
      </c>
      <c r="C183" s="25" t="str">
        <f>IF('E-Barrows'!A183&lt;'Adj-Barrows'!$B$10,'E-Barrows'!C183," ")</f>
        <v xml:space="preserve"> </v>
      </c>
      <c r="D183" s="27" t="str">
        <f>IF('E-Barrows'!A183&lt;'Adj-Barrows'!$B$10,'E-Barrows'!G183," ")</f>
        <v xml:space="preserve"> </v>
      </c>
      <c r="E183" s="26" t="str">
        <f>IF('E-Barrows'!A183&lt;'Adj-Barrows'!$B$10,'E-Barrows'!D183," ")</f>
        <v xml:space="preserve"> </v>
      </c>
      <c r="F183" s="26"/>
      <c r="G183" s="216" t="str">
        <f t="shared" si="9"/>
        <v xml:space="preserve"> </v>
      </c>
      <c r="H183" s="27" t="str">
        <f>IF('E-Barrows'!A183&lt;'Adj-Barrows'!$B$10,'E-Barrows'!I183," ")</f>
        <v xml:space="preserve"> </v>
      </c>
      <c r="I183" s="217" t="str">
        <f>IF('E-Barrows'!A183&lt;'Adj-Barrows'!$B$10,'E-Barrows'!A183," ")</f>
        <v xml:space="preserve"> </v>
      </c>
      <c r="J183" s="25" t="str">
        <f>IF('E-Barrows'!A183&lt;'Adj-Barrows'!$B$10,'E-Barrows'!J183," ")</f>
        <v xml:space="preserve"> </v>
      </c>
      <c r="K183" s="27" t="str">
        <f>IF('E-Barrows'!A183&lt;'Adj-Barrows'!$B$10,'E-Barrows'!N183," ")</f>
        <v xml:space="preserve"> </v>
      </c>
      <c r="L183" s="26" t="str">
        <f>IF('E-Barrows'!A183&lt;'Adj-Barrows'!$B$10,'E-Barrows'!K183," ")</f>
        <v xml:space="preserve"> </v>
      </c>
      <c r="M183" s="27" t="str">
        <f>IF('E-Barrows'!A183&lt;'Adj-Barrows'!$B$10,'E-Barrows'!M183," ")</f>
        <v xml:space="preserve"> </v>
      </c>
      <c r="N183" s="29" t="str">
        <f>IF('E-Barrows'!A183&lt;'Adj-Barrows'!$B$10,1/L183," ")</f>
        <v xml:space="preserve"> </v>
      </c>
      <c r="P183" s="30" t="str">
        <f t="shared" si="10"/>
        <v/>
      </c>
      <c r="Q183" s="30" t="str">
        <f t="shared" si="11"/>
        <v/>
      </c>
      <c r="R183" s="30" t="str">
        <f t="shared" si="12"/>
        <v/>
      </c>
    </row>
    <row r="184" spans="1:18" x14ac:dyDescent="0.25">
      <c r="A184" s="27" t="str">
        <f>IF('E-Barrows'!A184&lt;'Adj-Barrows'!$B$10,'E-Barrows'!B184," ")</f>
        <v xml:space="preserve"> </v>
      </c>
      <c r="B184" s="25" t="str">
        <f>IF('E-Barrows'!A184&lt;'Adj-Barrows'!$B$10,'E-Barrows'!A184," ")</f>
        <v xml:space="preserve"> </v>
      </c>
      <c r="C184" s="25" t="str">
        <f>IF('E-Barrows'!A184&lt;'Adj-Barrows'!$B$10,'E-Barrows'!C184," ")</f>
        <v xml:space="preserve"> </v>
      </c>
      <c r="D184" s="27" t="str">
        <f>IF('E-Barrows'!A184&lt;'Adj-Barrows'!$B$10,'E-Barrows'!G184," ")</f>
        <v xml:space="preserve"> </v>
      </c>
      <c r="E184" s="26" t="str">
        <f>IF('E-Barrows'!A184&lt;'Adj-Barrows'!$B$10,'E-Barrows'!D184," ")</f>
        <v xml:space="preserve"> </v>
      </c>
      <c r="F184" s="26"/>
      <c r="G184" s="216" t="str">
        <f t="shared" si="9"/>
        <v xml:space="preserve"> </v>
      </c>
      <c r="H184" s="27" t="str">
        <f>IF('E-Barrows'!A184&lt;'Adj-Barrows'!$B$10,'E-Barrows'!I184," ")</f>
        <v xml:space="preserve"> </v>
      </c>
      <c r="I184" s="217" t="str">
        <f>IF('E-Barrows'!A184&lt;'Adj-Barrows'!$B$10,'E-Barrows'!A184," ")</f>
        <v xml:space="preserve"> </v>
      </c>
      <c r="J184" s="25" t="str">
        <f>IF('E-Barrows'!A184&lt;'Adj-Barrows'!$B$10,'E-Barrows'!J184," ")</f>
        <v xml:space="preserve"> </v>
      </c>
      <c r="K184" s="27" t="str">
        <f>IF('E-Barrows'!A184&lt;'Adj-Barrows'!$B$10,'E-Barrows'!N184," ")</f>
        <v xml:space="preserve"> </v>
      </c>
      <c r="L184" s="26" t="str">
        <f>IF('E-Barrows'!A184&lt;'Adj-Barrows'!$B$10,'E-Barrows'!K184," ")</f>
        <v xml:space="preserve"> </v>
      </c>
      <c r="M184" s="27" t="str">
        <f>IF('E-Barrows'!A184&lt;'Adj-Barrows'!$B$10,'E-Barrows'!M184," ")</f>
        <v xml:space="preserve"> </v>
      </c>
      <c r="N184" s="29" t="str">
        <f>IF('E-Barrows'!A184&lt;'Adj-Barrows'!$B$10,1/L184," ")</f>
        <v xml:space="preserve"> </v>
      </c>
      <c r="P184" s="30" t="str">
        <f t="shared" si="10"/>
        <v/>
      </c>
      <c r="Q184" s="30" t="str">
        <f t="shared" si="11"/>
        <v/>
      </c>
      <c r="R184" s="30" t="str">
        <f t="shared" si="12"/>
        <v/>
      </c>
    </row>
    <row r="185" spans="1:18" x14ac:dyDescent="0.25">
      <c r="A185" s="27" t="str">
        <f>IF('E-Barrows'!A185&lt;'Adj-Barrows'!$B$10,'E-Barrows'!B185," ")</f>
        <v xml:space="preserve"> </v>
      </c>
      <c r="B185" s="25" t="str">
        <f>IF('E-Barrows'!A185&lt;'Adj-Barrows'!$B$10,'E-Barrows'!A185," ")</f>
        <v xml:space="preserve"> </v>
      </c>
      <c r="C185" s="25" t="str">
        <f>IF('E-Barrows'!A185&lt;'Adj-Barrows'!$B$10,'E-Barrows'!C185," ")</f>
        <v xml:space="preserve"> </v>
      </c>
      <c r="D185" s="27" t="str">
        <f>IF('E-Barrows'!A185&lt;'Adj-Barrows'!$B$10,'E-Barrows'!G185," ")</f>
        <v xml:space="preserve"> </v>
      </c>
      <c r="E185" s="26" t="str">
        <f>IF('E-Barrows'!A185&lt;'Adj-Barrows'!$B$10,'E-Barrows'!D185," ")</f>
        <v xml:space="preserve"> </v>
      </c>
      <c r="F185" s="26"/>
      <c r="G185" s="216" t="str">
        <f t="shared" si="9"/>
        <v xml:space="preserve"> </v>
      </c>
      <c r="H185" s="27" t="str">
        <f>IF('E-Barrows'!A185&lt;'Adj-Barrows'!$B$10,'E-Barrows'!I185," ")</f>
        <v xml:space="preserve"> </v>
      </c>
      <c r="I185" s="217" t="str">
        <f>IF('E-Barrows'!A185&lt;'Adj-Barrows'!$B$10,'E-Barrows'!A185," ")</f>
        <v xml:space="preserve"> </v>
      </c>
      <c r="J185" s="25" t="str">
        <f>IF('E-Barrows'!A185&lt;'Adj-Barrows'!$B$10,'E-Barrows'!J185," ")</f>
        <v xml:space="preserve"> </v>
      </c>
      <c r="K185" s="27" t="str">
        <f>IF('E-Barrows'!A185&lt;'Adj-Barrows'!$B$10,'E-Barrows'!N185," ")</f>
        <v xml:space="preserve"> </v>
      </c>
      <c r="L185" s="26" t="str">
        <f>IF('E-Barrows'!A185&lt;'Adj-Barrows'!$B$10,'E-Barrows'!K185," ")</f>
        <v xml:space="preserve"> </v>
      </c>
      <c r="M185" s="27" t="str">
        <f>IF('E-Barrows'!A185&lt;'Adj-Barrows'!$B$10,'E-Barrows'!M185," ")</f>
        <v xml:space="preserve"> </v>
      </c>
      <c r="N185" s="29" t="str">
        <f>IF('E-Barrows'!A185&lt;'Adj-Barrows'!$B$10,1/L185," ")</f>
        <v xml:space="preserve"> </v>
      </c>
      <c r="P185" s="30" t="str">
        <f t="shared" si="10"/>
        <v/>
      </c>
      <c r="Q185" s="30" t="str">
        <f t="shared" si="11"/>
        <v/>
      </c>
      <c r="R185" s="30" t="str">
        <f t="shared" si="12"/>
        <v/>
      </c>
    </row>
  </sheetData>
  <mergeCells count="2">
    <mergeCell ref="A1:E1"/>
    <mergeCell ref="H1:L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674CE-5AD7-4E0F-B76D-DD2672D09899}">
  <sheetPr codeName="Sheet6"/>
  <dimension ref="B1:O43"/>
  <sheetViews>
    <sheetView showGridLines="0" zoomScale="130" zoomScaleNormal="130" workbookViewId="0">
      <selection activeCell="C3" sqref="C3"/>
    </sheetView>
  </sheetViews>
  <sheetFormatPr defaultColWidth="8.85546875" defaultRowHeight="15" x14ac:dyDescent="0.25"/>
  <cols>
    <col min="2" max="2" width="27.140625" bestFit="1" customWidth="1"/>
    <col min="3" max="3" width="9.85546875" bestFit="1" customWidth="1"/>
    <col min="4" max="4" width="10.85546875" bestFit="1" customWidth="1"/>
    <col min="5" max="5" width="9.42578125" bestFit="1" customWidth="1"/>
  </cols>
  <sheetData>
    <row r="1" spans="2:15" s="7" customFormat="1" ht="122.1" customHeight="1" x14ac:dyDescent="0.25">
      <c r="C1" s="8"/>
      <c r="D1" s="8"/>
      <c r="E1" s="8"/>
      <c r="F1" s="8"/>
      <c r="G1" s="8"/>
    </row>
    <row r="2" spans="2:15" s="7" customFormat="1" ht="14.45" customHeight="1" x14ac:dyDescent="0.25">
      <c r="C2" s="8"/>
      <c r="D2" s="8"/>
      <c r="E2" s="8"/>
      <c r="F2" s="8"/>
      <c r="G2" s="8"/>
    </row>
    <row r="3" spans="2:15" s="9" customFormat="1" ht="16.5" customHeight="1" x14ac:dyDescent="0.35">
      <c r="B3" s="20" t="s">
        <v>70</v>
      </c>
      <c r="C3" s="56">
        <f>IF('Кормовой бюджет'!$C$4='Кормовой бюджет'!$O$20,('Кормовой бюджет'!C13/2.204622)*1000,('Кормовой бюджет'!C13))</f>
        <v>800</v>
      </c>
      <c r="D3" s="15"/>
      <c r="E3" s="15"/>
      <c r="F3" s="15"/>
      <c r="G3" s="15"/>
      <c r="H3" s="16"/>
      <c r="I3" s="15"/>
      <c r="J3" s="15"/>
      <c r="N3" s="10"/>
      <c r="O3" s="10"/>
    </row>
    <row r="4" spans="2:15" s="9" customFormat="1" ht="16.5" customHeight="1" x14ac:dyDescent="0.35">
      <c r="B4" s="20" t="s">
        <v>71</v>
      </c>
      <c r="C4" s="57">
        <f>'Кормовой бюджет'!C14</f>
        <v>2.4</v>
      </c>
      <c r="D4" s="15"/>
      <c r="E4" s="15"/>
      <c r="F4" s="15"/>
      <c r="G4" s="15"/>
      <c r="H4" s="16"/>
      <c r="I4" s="17"/>
      <c r="J4" s="15"/>
      <c r="N4" s="10"/>
      <c r="O4" s="10"/>
    </row>
    <row r="5" spans="2:15" s="9" customFormat="1" ht="16.5" customHeight="1" x14ac:dyDescent="0.35">
      <c r="B5" s="21" t="s">
        <v>72</v>
      </c>
      <c r="C5" s="58">
        <f>'Кормовой бюджет'!C5</f>
        <v>21</v>
      </c>
      <c r="D5" s="10"/>
      <c r="E5" s="10"/>
      <c r="F5" s="10"/>
      <c r="G5" s="15"/>
      <c r="H5" s="16"/>
      <c r="I5" s="15"/>
      <c r="J5" s="15"/>
      <c r="N5" s="10"/>
      <c r="O5" s="10"/>
    </row>
    <row r="6" spans="2:15" s="7" customFormat="1" ht="17.25" customHeight="1" x14ac:dyDescent="0.25">
      <c r="C6" s="8"/>
      <c r="D6" s="8"/>
      <c r="E6" s="8"/>
      <c r="F6" s="8"/>
      <c r="G6" s="8"/>
    </row>
    <row r="7" spans="2:15" s="9" customFormat="1" x14ac:dyDescent="0.25">
      <c r="B7" s="5" t="s">
        <v>73</v>
      </c>
      <c r="C7" s="41">
        <f>IF('Кормовой бюджет'!C21&gt;0,IF('Кормовой бюджет'!$C$4='Кормовой бюджет'!$O$20,'Кормовой бюджет'!C21*2.2046222,'Кормовой бюджет'!C21),"")</f>
        <v>3200</v>
      </c>
      <c r="D7" s="41">
        <f>IF('Кормовой бюджет'!D21&gt;0,IF('Кормовой бюджет'!$C$4='Кормовой бюджет'!$O$20,'Кормовой бюджет'!D21*2.2046222,'Кормовой бюджет'!D21),"")</f>
        <v>3200</v>
      </c>
      <c r="E7" s="41">
        <f>IF('Кормовой бюджет'!E21&gt;0,IF('Кормовой бюджет'!$C$4='Кормовой бюджет'!$O$20,'Кормовой бюджет'!E21*2.2046222,'Кормовой бюджет'!E21),"")</f>
        <v>3200</v>
      </c>
      <c r="F7" s="41" t="str">
        <f>IF('Кормовой бюджет'!F21&gt;0,IF('Кормовой бюджет'!$C$4='Кормовой бюджет'!$O$20,'Кормовой бюджет'!F21*2.2046222,'Кормовой бюджет'!F21),"")</f>
        <v/>
      </c>
      <c r="G7" s="41" t="str">
        <f>IF('Кормовой бюджет'!G21&gt;0,IF('Кормовой бюджет'!$C$4='Кормовой бюджет'!$O$20,'Кормовой бюджет'!G21*2.2046222,'Кормовой бюджет'!G21),"")</f>
        <v/>
      </c>
      <c r="H7" s="41" t="str">
        <f>IF('Кормовой бюджет'!H21&gt;0,IF('Кормовой бюджет'!$C$4='Кормовой бюджет'!$O$20,'Кормовой бюджет'!H21*2.2046222,'Кормовой бюджет'!H21),"")</f>
        <v/>
      </c>
      <c r="I7" s="41" t="str">
        <f>IF('Кормовой бюджет'!I21&gt;0,IF('Кормовой бюджет'!$C$4='Кормовой бюджет'!$O$20,'Кормовой бюджет'!I21*2.2046222,'Кормовой бюджет'!I21),"")</f>
        <v/>
      </c>
      <c r="J7" s="41" t="str">
        <f>IF('Кормовой бюджет'!J21&gt;0,IF('Кормовой бюджет'!$C$4='Кормовой бюджет'!$O$20,'Кормовой бюджет'!J21*2.2046222,'Кормовой бюджет'!J21),"")</f>
        <v/>
      </c>
    </row>
    <row r="8" spans="2:15" s="7" customFormat="1" ht="17.25" customHeight="1" x14ac:dyDescent="0.25">
      <c r="B8" s="55" t="s">
        <v>35</v>
      </c>
      <c r="C8" s="8"/>
      <c r="D8" s="8"/>
      <c r="E8" s="8"/>
      <c r="F8" s="8"/>
      <c r="G8" s="8"/>
    </row>
    <row r="9" spans="2:15" s="9" customFormat="1" x14ac:dyDescent="0.25">
      <c r="B9" s="5" t="s">
        <v>74</v>
      </c>
      <c r="C9" s="48">
        <f>IF('Кормовой бюджет'!C21&gt;0,IF('Кормовой бюджет'!$C$4='Кормовой бюджет'!$O$20,'Кормовой бюджет'!C23/2.2046222,'Кормовой бюджет'!C23),"")</f>
        <v>12</v>
      </c>
      <c r="D9" s="48">
        <f>IF('Кормовой бюджет'!D21&gt;0,IF('Кормовой бюджет'!$C$4='Кормовой бюджет'!$O$20,'Кормовой бюджет'!D23/2.2046222,'Кормовой бюджет'!D23),"")</f>
        <v>18</v>
      </c>
      <c r="E9" s="48">
        <f>IF('Кормовой бюджет'!E21&gt;0,IF('Кормовой бюджет'!$C$4='Кормовой бюджет'!$O$20,'Кормовой бюджет'!E23/2.2046222,'Кормовой бюджет'!E23),"")</f>
        <v>25</v>
      </c>
      <c r="F9" s="48" t="str">
        <f>IF('Кормовой бюджет'!F21&gt;0,IF('Кормовой бюджет'!$C$4='Кормовой бюджет'!$O$20,'Кормовой бюджет'!F23/2.2046222,'Кормовой бюджет'!F23),"")</f>
        <v/>
      </c>
      <c r="G9" s="48" t="str">
        <f>IF('Кормовой бюджет'!G21&gt;0,IF('Кормовой бюджет'!$C$4='Кормовой бюджет'!$O$20,'Кормовой бюджет'!G23/2.2046222,'Кормовой бюджет'!G23),"")</f>
        <v/>
      </c>
      <c r="H9" s="48" t="str">
        <f>IF('Кормовой бюджет'!H21&gt;0,IF('Кормовой бюджет'!$C$4='Кормовой бюджет'!$O$20,'Кормовой бюджет'!H23/2.2046222,'Кормовой бюджет'!H23),"")</f>
        <v/>
      </c>
      <c r="I9" s="48" t="str">
        <f>IF('Кормовой бюджет'!I21&gt;0,IF('Кормовой бюджет'!$C$4='Кормовой бюджет'!$O$20,'Кормовой бюджет'!I23/2.2046222,'Кормовой бюджет'!I23),"")</f>
        <v/>
      </c>
      <c r="J9" s="48" t="str">
        <f>IF('Кормовой бюджет'!J21&gt;0,IF('Кормовой бюджет'!$C$4='Кормовой бюджет'!$O$20,'Кормовой бюджет'!J23/2.2046222,'Кормовой бюджет'!J23),"")</f>
        <v/>
      </c>
    </row>
    <row r="10" spans="2:15" s="9" customFormat="1" x14ac:dyDescent="0.25">
      <c r="B10" s="5" t="s">
        <v>75</v>
      </c>
      <c r="C10" s="48">
        <f>IF('Кормовой бюджет'!C21&gt;0,IF('Кормовой бюджет'!$C$4='Кормовой бюджет'!$O$20,'Кормовой бюджет'!C24/2.2046222,'Кормовой бюджет'!C24),"")</f>
        <v>18</v>
      </c>
      <c r="D10" s="48">
        <f>IF('Кормовой бюджет'!D21&gt;0,IF('Кормовой бюджет'!$C$4='Кормовой бюджет'!$O$20,'Кормовой бюджет'!D24/2.2046222,'Кормовой бюджет'!D24),"")</f>
        <v>25</v>
      </c>
      <c r="E10" s="48">
        <f>IF('Кормовой бюджет'!E21&gt;0,IF('Кормовой бюджет'!$C$4='Кормовой бюджет'!$O$20,'Кормовой бюджет'!E24/2.2046222,'Кормовой бюджет'!E24),"")</f>
        <v>55</v>
      </c>
      <c r="F10" s="48" t="str">
        <f>IF('Кормовой бюджет'!F21&gt;0,IF('Кормовой бюджет'!$C$4='Кормовой бюджет'!$O$20,'Кормовой бюджет'!F24/2.2046222,'Кормовой бюджет'!F24),"")</f>
        <v/>
      </c>
      <c r="G10" s="48" t="str">
        <f>IF('Кормовой бюджет'!G21&gt;0,IF('Кормовой бюджет'!$C$4='Кормовой бюджет'!$O$20,'Кормовой бюджет'!G24/2.2046222,'Кормовой бюджет'!G24),"")</f>
        <v/>
      </c>
      <c r="H10" s="48" t="str">
        <f>IF('Кормовой бюджет'!H21&gt;0,IF('Кормовой бюджет'!$C$4='Кормовой бюджет'!$O$20,'Кормовой бюджет'!H24/2.2046222,'Кормовой бюджет'!H24),"")</f>
        <v/>
      </c>
      <c r="I10" s="48" t="str">
        <f>IF('Кормовой бюджет'!I21&gt;0,IF('Кормовой бюджет'!$C$4='Кормовой бюджет'!$O$20,'Кормовой бюджет'!I24/2.2046222,'Кормовой бюджет'!I24),"")</f>
        <v/>
      </c>
      <c r="J10" s="48" t="str">
        <f>IF('Кормовой бюджет'!J21&gt;0,IF('Кормовой бюджет'!$C$4='Кормовой бюджет'!$O$20,'Кормовой бюджет'!J24/2.2046222,'Кормовой бюджет'!J24),"")</f>
        <v/>
      </c>
      <c r="L10" s="40"/>
    </row>
    <row r="11" spans="2:15" s="9" customFormat="1" ht="15.75" x14ac:dyDescent="0.25">
      <c r="C11" s="6" t="str">
        <f t="shared" ref="C11:J11" si="0">IF(C28&lt;C27,"!", " ")</f>
        <v xml:space="preserve"> </v>
      </c>
      <c r="D11" s="6" t="str">
        <f t="shared" si="0"/>
        <v xml:space="preserve"> </v>
      </c>
      <c r="E11" s="6" t="str">
        <f t="shared" si="0"/>
        <v xml:space="preserve"> </v>
      </c>
      <c r="F11" s="6" t="str">
        <f t="shared" si="0"/>
        <v xml:space="preserve"> </v>
      </c>
      <c r="G11" s="6" t="str">
        <f t="shared" si="0"/>
        <v xml:space="preserve"> </v>
      </c>
      <c r="H11" s="6" t="str">
        <f t="shared" si="0"/>
        <v xml:space="preserve"> </v>
      </c>
      <c r="I11" s="6" t="str">
        <f t="shared" si="0"/>
        <v xml:space="preserve"> </v>
      </c>
      <c r="J11" s="6" t="str">
        <f t="shared" si="0"/>
        <v xml:space="preserve"> </v>
      </c>
    </row>
    <row r="12" spans="2:15" s="9" customFormat="1" x14ac:dyDescent="0.25">
      <c r="B12" s="5" t="s">
        <v>76</v>
      </c>
      <c r="C12" s="33">
        <f>IFERROR(IF('Кормовой бюджет'!D21&gt;0,(C14-C13),(C14-C13+'Adj-Mixed'!$I$4))," ")</f>
        <v>10.230322047769254</v>
      </c>
      <c r="D12" s="33">
        <f>IFERROR(IF('Кормовой бюджет'!E21&gt;0,(D14-D13),(D14-D13+'Adj-Mixed'!$I$4))," ")</f>
        <v>14.907741572496564</v>
      </c>
      <c r="E12" s="33">
        <f>IFERROR(IF('Кормовой бюджет'!F21&gt;0,(E14-E13),(E14-E13+'Adj-Mixed'!$I$4))," ")</f>
        <v>78.061936379734192</v>
      </c>
      <c r="F12" s="33" t="str">
        <f>IFERROR(IF('Кормовой бюджет'!G21&gt;0,(F14-F13),(F14-F13+'Adj-Mixed'!$I$4))," ")</f>
        <v xml:space="preserve"> </v>
      </c>
      <c r="G12" s="33" t="str">
        <f>IFERROR(IF('Кормовой бюджет'!H21&gt;0,(G14-G13),(G14-G13+'Adj-Mixed'!$I$4))," ")</f>
        <v xml:space="preserve"> </v>
      </c>
      <c r="H12" s="33" t="str">
        <f>IFERROR(IF('Кормовой бюджет'!I21&gt;0,(H14-H13),(H14-H13+'Adj-Mixed'!$I$4))," ")</f>
        <v xml:space="preserve"> </v>
      </c>
      <c r="I12" s="33" t="str">
        <f>IFERROR(IF('Кормовой бюджет'!J21&gt;0,(I14-I13),(I14-I13+'Adj-Mixed'!$I$4))," ")</f>
        <v xml:space="preserve"> </v>
      </c>
      <c r="J12" s="33" t="str">
        <f>IFERROR(IF('Кормовой бюджет'!K21&gt;0,(J14-J13),(J14-J13+'Adj-Mixed'!$I$4))," ")</f>
        <v xml:space="preserve"> </v>
      </c>
      <c r="M12" s="31"/>
    </row>
    <row r="13" spans="2:15" s="9" customFormat="1" x14ac:dyDescent="0.25">
      <c r="B13" s="5"/>
      <c r="C13" s="33">
        <v>0</v>
      </c>
      <c r="D13" s="33">
        <f>IF('Кормовой бюджет'!D$21&gt;0,VLOOKUP(D22,'Curve-Mixed'!$H$3:$K$185,4),"")</f>
        <v>10.230322047769254</v>
      </c>
      <c r="E13" s="33">
        <f>IF('Кормовой бюджет'!E$21&gt;0,VLOOKUP(E22,'Curve-Mixed'!$H$3:$K$185,4),"")</f>
        <v>25.138063620265818</v>
      </c>
      <c r="F13" s="33" t="str">
        <f>IF('Кормовой бюджет'!F$21&gt;0,VLOOKUP(F22,'Curve-Mixed'!$H$3:$K$185,4),"")</f>
        <v/>
      </c>
      <c r="G13" s="33" t="str">
        <f>IF('Кормовой бюджет'!G$21&gt;0,VLOOKUP(G22,'Curve-Mixed'!$H$3:$K$185,4),"")</f>
        <v/>
      </c>
      <c r="H13" s="33" t="str">
        <f>IF('Кормовой бюджет'!H$21&gt;0,VLOOKUP(H22,'Curve-Mixed'!$H$3:$K$185,4),"")</f>
        <v/>
      </c>
      <c r="I13" s="33" t="str">
        <f>IF('Кормовой бюджет'!I$21&gt;0,VLOOKUP(I22,'Curve-Mixed'!$H$3:$K$185,4),"")</f>
        <v/>
      </c>
      <c r="J13" s="33" t="str">
        <f>IF('Кормовой бюджет'!J$21&gt;0,VLOOKUP(J22,'Curve-Mixed'!$H$3:$K$185,4),"")</f>
        <v/>
      </c>
    </row>
    <row r="14" spans="2:15" s="9" customFormat="1" x14ac:dyDescent="0.25">
      <c r="B14" s="5"/>
      <c r="C14" s="33">
        <f>IF('Кормовой бюджет'!C$21&gt;0,VLOOKUP(C23,'Curve-Mixed'!$H$3:$K$185,4),"")</f>
        <v>10.230322047769254</v>
      </c>
      <c r="D14" s="33">
        <f>IF('Кормовой бюджет'!D$21&gt;0,VLOOKUP(D23,'Curve-Mixed'!$H$3:$K$185,4),"")</f>
        <v>25.138063620265818</v>
      </c>
      <c r="E14" s="33">
        <f>IF('Кормовой бюджет'!E$21&gt;0,VLOOKUP(E23,'Curve-Mixed'!$H$3:$K$185,4),"")</f>
        <v>101.75999999999998</v>
      </c>
      <c r="F14" s="33" t="str">
        <f>IF('Кормовой бюджет'!F$21&gt;0,VLOOKUP(F23,'Curve-Mixed'!$H$3:$K$185,4),"")</f>
        <v/>
      </c>
      <c r="G14" s="33" t="str">
        <f>IF('Кормовой бюджет'!G$21&gt;0,VLOOKUP(G23,'Curve-Mixed'!$H$3:$K$185,4),"")</f>
        <v/>
      </c>
      <c r="H14" s="33" t="str">
        <f>IF('Кормовой бюджет'!H$21&gt;0,VLOOKUP(H23,'Curve-Mixed'!$H$3:$K$185,4),"")</f>
        <v/>
      </c>
      <c r="I14" s="33" t="str">
        <f>IF('Кормовой бюджет'!I$21&gt;0,VLOOKUP(I23,'Curve-Mixed'!$H$3:$K$185,4),"")</f>
        <v/>
      </c>
      <c r="J14" s="33" t="str">
        <f>IF('Кормовой бюджет'!J$21&gt;0,VLOOKUP(J23,'Curve-Mixed'!$H$3:$K$185,4),"")</f>
        <v/>
      </c>
      <c r="M14" s="31"/>
    </row>
    <row r="15" spans="2:15" s="9" customFormat="1" x14ac:dyDescent="0.25">
      <c r="B15" s="5" t="s">
        <v>77</v>
      </c>
      <c r="C15" s="11">
        <f>IFERROR(IF('Кормовой бюджет'!D21&gt;0,(C17-C16),(C17-C16+1)),"")</f>
        <v>15</v>
      </c>
      <c r="D15" s="11">
        <f>IFERROR(IF('Кормовой бюджет'!E21&gt;0,(D17-D16),(D17-D16+1)),"")</f>
        <v>10</v>
      </c>
      <c r="E15" s="11">
        <f>IFERROR(IF('Кормовой бюджет'!F21&gt;0,(E17-E16),(E17-E16+1)),"")</f>
        <v>29</v>
      </c>
      <c r="F15" s="11" t="str">
        <f>IFERROR(IF('Кормовой бюджет'!G21&gt;0,(F17-F16),(F17-F16+1)),"")</f>
        <v/>
      </c>
      <c r="G15" s="11" t="str">
        <f>IFERROR(IF('Кормовой бюджет'!H21&gt;0,(G17-G16),(G17-G16+1)),"")</f>
        <v/>
      </c>
      <c r="H15" s="11" t="str">
        <f>IFERROR(IF('Кормовой бюджет'!I21&gt;0,(H17-H16),(H17-H16+1)),"")</f>
        <v/>
      </c>
      <c r="I15" s="11" t="str">
        <f>IFERROR(IF('Кормовой бюджет'!J21&gt;0,(I17-I16),(I17-I16+1)),"")</f>
        <v/>
      </c>
      <c r="J15" s="11" t="str">
        <f>IFERROR(IF('Кормовой бюджет'!K21&gt;0,(J17-J16),(J17-J16+1)),"")</f>
        <v/>
      </c>
      <c r="M15" s="31"/>
      <c r="N15" s="32"/>
    </row>
    <row r="16" spans="2:15" s="9" customFormat="1" x14ac:dyDescent="0.25">
      <c r="B16" s="5"/>
      <c r="C16" s="11">
        <f>IF('Кормовой бюджет'!C21&gt;0,VLOOKUP(C22,'Curve-Mixed'!$H$3:$K$185,2),"")</f>
        <v>21</v>
      </c>
      <c r="D16" s="11">
        <f>IF('Кормовой бюджет'!D21&gt;0,VLOOKUP(D22,'Curve-Mixed'!$H$3:$K$185,2),"")</f>
        <v>36</v>
      </c>
      <c r="E16" s="11">
        <f>IF('Кормовой бюджет'!E21&gt;0,VLOOKUP(E22,'Curve-Mixed'!$H$3:$K$185,2),"")</f>
        <v>46</v>
      </c>
      <c r="F16" s="11" t="str">
        <f>IF('Кормовой бюджет'!F21&gt;0,VLOOKUP(F22,'Curve-Mixed'!$H$3:$K$185,2),"")</f>
        <v/>
      </c>
      <c r="G16" s="11" t="str">
        <f>IF('Кормовой бюджет'!G21&gt;0,VLOOKUP(G22,'Curve-Mixed'!$H$3:$K$185,2),"")</f>
        <v/>
      </c>
      <c r="H16" s="11" t="str">
        <f>IF('Кормовой бюджет'!H21&gt;0,VLOOKUP(H22,'Curve-Mixed'!$H$3:$K$185,2),"")</f>
        <v/>
      </c>
      <c r="I16" s="11" t="str">
        <f>IF('Кормовой бюджет'!I21&gt;0,VLOOKUP(I22,'Curve-Mixed'!$H$3:$K$185,2),"")</f>
        <v/>
      </c>
      <c r="J16" s="11" t="str">
        <f>IF('Кормовой бюджет'!J21&gt;0,VLOOKUP(J22,'Curve-Mixed'!$H$3:$K$185,2),"")</f>
        <v/>
      </c>
      <c r="M16" s="31"/>
    </row>
    <row r="17" spans="2:15" s="9" customFormat="1" x14ac:dyDescent="0.25">
      <c r="B17" s="5"/>
      <c r="C17" s="11">
        <f>IF('Кормовой бюджет'!C21&gt;0,VLOOKUP(C23,'Curve-Mixed'!$H$3:$K$185,2),"")</f>
        <v>36</v>
      </c>
      <c r="D17" s="11">
        <f>IF('Кормовой бюджет'!D21&gt;0,VLOOKUP(D23,'Curve-Mixed'!$H$3:$K$185,2),"")</f>
        <v>46</v>
      </c>
      <c r="E17" s="11">
        <f>IF('Кормовой бюджет'!E21&gt;0,VLOOKUP(E23,'Curve-Mixed'!$H$3:$K$185,2),"")</f>
        <v>74</v>
      </c>
      <c r="F17" s="11" t="str">
        <f>IF('Кормовой бюджет'!F21&gt;0,VLOOKUP(F23,'Curve-Mixed'!$H$3:$K$185,2),"")</f>
        <v/>
      </c>
      <c r="G17" s="11" t="str">
        <f>IF('Кормовой бюджет'!G21&gt;0,VLOOKUP(G23,'Curve-Mixed'!$H$3:$K$185,2),"")</f>
        <v/>
      </c>
      <c r="H17" s="11" t="str">
        <f>IF('Кормовой бюджет'!H21&gt;0,VLOOKUP(H23,'Curve-Mixed'!$H$3:$K$185,2),"")</f>
        <v/>
      </c>
      <c r="I17" s="11" t="str">
        <f>IF('Кормовой бюджет'!I21&gt;0,VLOOKUP(I23,'Curve-Mixed'!$H$3:$K$185,2),"")</f>
        <v/>
      </c>
      <c r="J17" s="11" t="str">
        <f>IF('Кормовой бюджет'!J21&gt;0,VLOOKUP(J23,'Curve-Mixed'!$H$3:$K$185,2),"")</f>
        <v/>
      </c>
      <c r="M17" s="31"/>
    </row>
    <row r="18" spans="2:15" s="9" customFormat="1" x14ac:dyDescent="0.25">
      <c r="B18" s="9" t="s">
        <v>78</v>
      </c>
      <c r="C18" s="11">
        <f>IF('Кормовой бюджет'!C21&gt;0,CONVERT(C22*1000,"g","lbm")," ")</f>
        <v>26.455471462185308</v>
      </c>
      <c r="D18" s="11">
        <f>IF('Кормовой бюджет'!D21&gt;0,CONVERT(D22*1000,"g","lbm")," ")</f>
        <v>38.763111867106957</v>
      </c>
      <c r="E18" s="11">
        <f>IF('Кормовой бюджет'!E21&gt;0,CONVERT(E22*1000,"g","lbm")," ")</f>
        <v>54.382615405279594</v>
      </c>
      <c r="F18" s="11" t="str">
        <f>IF('Кормовой бюджет'!F21&gt;0,CONVERT(F22*1000,"g","lbm")," ")</f>
        <v xml:space="preserve"> </v>
      </c>
      <c r="G18" s="11" t="str">
        <f>IF('Кормовой бюджет'!G21&gt;0,CONVERT(G22*1000,"g","lbm")," ")</f>
        <v xml:space="preserve"> </v>
      </c>
      <c r="H18" s="11" t="str">
        <f>IF('Кормовой бюджет'!H21&gt;0,CONVERT(H22*1000,"g","lbm")," ")</f>
        <v xml:space="preserve"> </v>
      </c>
      <c r="I18" s="11" t="str">
        <f>IF('Кормовой бюджет'!I21&gt;0,CONVERT(I22*1000,"g","lbm")," ")</f>
        <v xml:space="preserve"> </v>
      </c>
      <c r="J18" s="11" t="str">
        <f>IF('Кормовой бюджет'!J21&gt;0,CONVERT(J22*1000,"g","lbm")," ")</f>
        <v xml:space="preserve"> </v>
      </c>
    </row>
    <row r="19" spans="2:15" s="9" customFormat="1" x14ac:dyDescent="0.25">
      <c r="B19" s="9" t="s">
        <v>79</v>
      </c>
      <c r="C19" s="11">
        <f>IF('Кормовой бюджет'!C21&gt;0,CONVERT(C23*1000,"g","lbm")," ")</f>
        <v>38.763111867106957</v>
      </c>
      <c r="D19" s="11">
        <f>IF('Кормовой бюджет'!D21&gt;0,CONVERT(D23*1000,"g","lbm")," ")</f>
        <v>54.382615405279594</v>
      </c>
      <c r="E19" s="11">
        <f>IF('Кормовой бюджет'!E21&gt;0,CONVERT(E23*1000,"g","lbm")," ")</f>
        <v>119.93147062857339</v>
      </c>
      <c r="F19" s="11" t="str">
        <f>IF('Кормовой бюджет'!F21&gt;0,CONVERT(F23*1000,"g","lbm")," ")</f>
        <v xml:space="preserve"> </v>
      </c>
      <c r="G19" s="33" t="str">
        <f>IF('Кормовой бюджет'!G21&gt;0,CONVERT(G23*1000,"g","lbm")," ")</f>
        <v xml:space="preserve"> </v>
      </c>
      <c r="H19" s="11" t="str">
        <f>IF('Кормовой бюджет'!H21&gt;0,CONVERT(H23*1000,"g","lbm")," ")</f>
        <v xml:space="preserve"> </v>
      </c>
      <c r="I19" s="11" t="str">
        <f>IF('Кормовой бюджет'!I21&gt;0,CONVERT(I23*1000,"g","lbm")," ")</f>
        <v xml:space="preserve"> </v>
      </c>
      <c r="J19" s="11" t="str">
        <f>IF('Кормовой бюджет'!J21&gt;0,CONVERT(J23*1000,"g","lbm")," ")</f>
        <v xml:space="preserve"> </v>
      </c>
    </row>
    <row r="20" spans="2:15" s="9" customFormat="1" x14ac:dyDescent="0.25">
      <c r="C20" s="50">
        <f>IFERROR(IF(C18&gt;0,AVERAGE(C18:C19)," "),"")</f>
        <v>32.609291664646136</v>
      </c>
      <c r="D20" s="50">
        <f t="shared" ref="D20:J20" si="1">IFERROR(IF(D18&gt;0,AVERAGE(D18:D19)," "),"")</f>
        <v>46.572863636193276</v>
      </c>
      <c r="E20" s="50">
        <f t="shared" si="1"/>
        <v>87.157043016926494</v>
      </c>
      <c r="F20" s="50" t="str">
        <f t="shared" si="1"/>
        <v/>
      </c>
      <c r="G20" s="50" t="str">
        <f t="shared" si="1"/>
        <v/>
      </c>
      <c r="H20" s="50" t="str">
        <f t="shared" si="1"/>
        <v/>
      </c>
      <c r="I20" s="50" t="str">
        <f t="shared" si="1"/>
        <v/>
      </c>
      <c r="J20" s="50" t="str">
        <f t="shared" si="1"/>
        <v/>
      </c>
    </row>
    <row r="21" spans="2:15" s="9" customFormat="1" x14ac:dyDescent="0.25">
      <c r="C21" s="12"/>
      <c r="D21" s="12"/>
      <c r="E21" s="12"/>
      <c r="F21" s="12"/>
      <c r="G21" s="12"/>
      <c r="H21" s="10"/>
    </row>
    <row r="22" spans="2:15" s="9" customFormat="1" x14ac:dyDescent="0.25">
      <c r="B22" s="9" t="s">
        <v>74</v>
      </c>
      <c r="C22" s="11">
        <f>C9</f>
        <v>12</v>
      </c>
      <c r="D22" s="11">
        <f>IF('Кормовой бюджет'!D21&gt;0,VLOOKUP(D9,'Curve-Mixed'!$H$3:$J$185,1),"")</f>
        <v>17.582651780376171</v>
      </c>
      <c r="E22" s="11">
        <f>IF('Кормовой бюджет'!E21&gt;0,VLOOKUP(E9,'Curve-Mixed'!$H$3:$J$185,1),"")</f>
        <v>24.667539408479282</v>
      </c>
      <c r="F22" s="11" t="str">
        <f>IF('Кормовой бюджет'!F21&gt;0,VLOOKUP(F9,'Curve-Mixed'!$H$3:$J$185,1),"")</f>
        <v/>
      </c>
      <c r="G22" s="11" t="str">
        <f>IF('Кормовой бюджет'!G21&gt;0,VLOOKUP(G9,'Curve-Mixed'!$H$3:$J$185,1),"")</f>
        <v/>
      </c>
      <c r="H22" s="11" t="str">
        <f>IF('Кормовой бюджет'!H21&gt;0,VLOOKUP(H9,'Curve-Mixed'!$H$3:$J$185,1),"")</f>
        <v/>
      </c>
      <c r="I22" s="11" t="str">
        <f>IF('Кормовой бюджет'!I21&gt;0,VLOOKUP(I9,'Curve-Mixed'!$H$3:$J$185,1),"")</f>
        <v/>
      </c>
      <c r="J22" s="11" t="str">
        <f>IF('Кормовой бюджет'!J21&gt;0,VLOOKUP(J9,'Curve-Mixed'!$H$3:$J$185,1),"")</f>
        <v/>
      </c>
    </row>
    <row r="23" spans="2:15" s="9" customFormat="1" x14ac:dyDescent="0.25">
      <c r="B23" s="9" t="s">
        <v>75</v>
      </c>
      <c r="C23" s="11">
        <f>IF('Кормовой бюджет'!C21&gt;0,VLOOKUP(C10,'Curve-Mixed'!$H$3:$J$185,1),"")</f>
        <v>17.582651780376171</v>
      </c>
      <c r="D23" s="11">
        <f>IF('Кормовой бюджет'!D21&gt;0,VLOOKUP(D10,'Curve-Mixed'!$H$3:$J$185,1),"")</f>
        <v>24.667539408479282</v>
      </c>
      <c r="E23" s="11">
        <f>IF('Кормовой бюджет'!E21&gt;0,VLOOKUP(E10,'Curve-Mixed'!$H$3:$J$185,1),"")</f>
        <v>54.4</v>
      </c>
      <c r="F23" s="11" t="str">
        <f>IF('Кормовой бюджет'!F21&gt;0,VLOOKUP(F10,'Curve-Mixed'!$H$3:$J$185,1),"")</f>
        <v/>
      </c>
      <c r="G23" s="11" t="str">
        <f>IF('Кормовой бюджет'!G21&gt;0,VLOOKUP(G10,'Curve-Mixed'!$H$3:$J$185,1),"")</f>
        <v/>
      </c>
      <c r="H23" s="11" t="str">
        <f>IF('Кормовой бюджет'!H21&gt;0,VLOOKUP(H10,'Curve-Mixed'!$H$3:$J$185,1),"")</f>
        <v/>
      </c>
      <c r="I23" s="11" t="str">
        <f>IF('Кормовой бюджет'!I21&gt;0,VLOOKUP(I10,'Curve-Mixed'!$H$3:$J$185,1),"")</f>
        <v/>
      </c>
      <c r="J23" s="11" t="str">
        <f>IF('Кормовой бюджет'!J21&gt;0,VLOOKUP(J10,'Curve-Mixed'!$H$3:$J$185,1),"")</f>
        <v/>
      </c>
    </row>
    <row r="24" spans="2:15" s="9" customFormat="1" x14ac:dyDescent="0.25">
      <c r="C24" s="12">
        <f>IFERROR(IF(C22&gt;0,AVERAGE(C22:C23)," "),"")</f>
        <v>14.791325890188086</v>
      </c>
      <c r="D24" s="12">
        <f t="shared" ref="D24:J24" si="2">IFERROR(IF(D22&gt;0,AVERAGE(D22:D23)," "),"")</f>
        <v>21.125095594427727</v>
      </c>
      <c r="E24" s="12">
        <f t="shared" si="2"/>
        <v>39.533769704239639</v>
      </c>
      <c r="F24" s="12" t="str">
        <f t="shared" si="2"/>
        <v/>
      </c>
      <c r="G24" s="12" t="str">
        <f t="shared" si="2"/>
        <v/>
      </c>
      <c r="H24" s="12" t="str">
        <f t="shared" si="2"/>
        <v/>
      </c>
      <c r="I24" s="12" t="str">
        <f t="shared" si="2"/>
        <v/>
      </c>
      <c r="J24" s="12" t="str">
        <f t="shared" si="2"/>
        <v/>
      </c>
    </row>
    <row r="25" spans="2:15" s="9" customFormat="1" x14ac:dyDescent="0.25">
      <c r="C25" s="12"/>
      <c r="D25" s="12"/>
      <c r="E25" s="12"/>
      <c r="F25" s="12"/>
      <c r="G25" s="12"/>
      <c r="H25" s="10"/>
      <c r="N25" s="32"/>
      <c r="O25" s="32"/>
    </row>
    <row r="26" spans="2:15" s="9" customFormat="1" x14ac:dyDescent="0.25">
      <c r="B26" s="5" t="s">
        <v>80</v>
      </c>
      <c r="C26" s="10"/>
      <c r="D26" s="10"/>
      <c r="E26" s="10"/>
      <c r="F26" s="10"/>
      <c r="G26" s="10"/>
      <c r="H26" s="10"/>
    </row>
    <row r="27" spans="2:15" s="9" customFormat="1" x14ac:dyDescent="0.25">
      <c r="B27" s="9" t="s">
        <v>81</v>
      </c>
      <c r="C27" s="13">
        <f>IFERROR(IF(AND('Кормовой бюджет'!C21&gt;0,C24&lt;40),C30,C30+(-(-0.0000000031*C24^4+0.0000013234*C24^3-0.0002087068*C24^2+0.0142221655*C24-0.3126825057)*C30)),"")</f>
        <v>3.9675364926715515</v>
      </c>
      <c r="D27" s="13">
        <f>IFERROR(IF(AND('Кормовой бюджет'!D21&gt;0,D24&lt;40),D30,D30+(-(-0.0000000031*D24^4+0.0000013234*D24^3-0.0002087068*D24^2+0.0142221655*D24-0.3126825057)*D30)),"")</f>
        <v>3.7752090480307121</v>
      </c>
      <c r="E27" s="13">
        <f>IFERROR(IF(AND('Кормовой бюджет'!E21&gt;0,E24&lt;40),E30,E30+(-(-0.0000000031*E24^4+0.0000013234*E24^3-0.0002087068*E24^2+0.0142221655*E24-0.3126825057)*E30)),"")</f>
        <v>3.2728183744077457</v>
      </c>
      <c r="F27" s="13" t="str">
        <f>IFERROR(IF(AND('Кормовой бюджет'!F21&gt;0,F24&lt;40),F30,F30+(-(-0.0000000031*F24^4+0.0000013234*F24^3-0.0002087068*F24^2+0.0142221655*F24-0.3126825057)*F30)),"")</f>
        <v/>
      </c>
      <c r="G27" s="13" t="str">
        <f>IFERROR(IF(AND('Кормовой бюджет'!G21&gt;0,G24&lt;40),G30,G30+(-(-0.0000000031*G24^4+0.0000013234*G24^3-0.0002087068*G24^2+0.0142221655*G24-0.3126825057)*G30)),"")</f>
        <v/>
      </c>
      <c r="H27" s="13" t="str">
        <f>IFERROR(IF(AND('Кормовой бюджет'!H21&gt;0,H24&lt;40),H30,H30+(-(-0.0000000031*H24^4+0.0000013234*H24^3-0.0002087068*H24^2+0.0142221655*H24-0.3126825057)*H30)),"")</f>
        <v/>
      </c>
      <c r="I27" s="13" t="str">
        <f>IFERROR(IF(AND('Кормовой бюджет'!I21&gt;0,I24&lt;40),I30,I30+(-(-0.0000000031*I24^4+0.0000013234*I24^3-0.0002087068*I24^2+0.0142221655*I24-0.3126825057)*I30)),"")</f>
        <v/>
      </c>
      <c r="J27" s="13" t="str">
        <f>IFERROR(IF(AND('Кормовой бюджет'!J21&gt;0,J24&lt;40),J30,J30+(-(-0.0000000031*J24^4+0.0000013234*J24^3-0.0002087068*J24^2+0.0142221655*J24-0.3126825057)*J30)),"")</f>
        <v/>
      </c>
    </row>
    <row r="28" spans="2:15" s="9" customFormat="1" x14ac:dyDescent="0.25">
      <c r="B28" s="9" t="s">
        <v>82</v>
      </c>
      <c r="C28" s="13">
        <f>IFERROR(IF(AND('Кормовой бюджет'!C21&gt;0,C24&lt;40),C30,C30+((-0.0000000031*C24^4+0.0000013234*C24^3-0.0002087068*C24^2+0.0142221655*C24-0.3126825057)*C30)),"")</f>
        <v>3.9675364926715515</v>
      </c>
      <c r="D28" s="13">
        <f>IFERROR(IF(AND('Кормовой бюджет'!D21&gt;0,D24&lt;40),D30,D30+((-0.0000000031*D24^4+0.0000013234*D24^3-0.0002087068*D24^2+0.0142221655*D24-0.3126825057)*D30)),"")</f>
        <v>3.7752090480307121</v>
      </c>
      <c r="E28" s="13">
        <f>IFERROR(IF(AND('Кормовой бюджет'!E21&gt;0,E24&lt;40),E30,E30+((-0.0000000031*E24^4+0.0000013234*E24^3-0.0002087068*E24^2+0.0142221655*E24-0.3126825057)*E30)),"")</f>
        <v>3.2728183744077457</v>
      </c>
      <c r="F28" s="13" t="str">
        <f>IFERROR(IF(AND('Кормовой бюджет'!F21&gt;0,F24&lt;40),F30,F30+((-0.0000000031*F24^4+0.0000013234*F24^3-0.0002087068*F24^2+0.0142221655*F24-0.3126825057)*F30)),"")</f>
        <v/>
      </c>
      <c r="G28" s="13" t="str">
        <f>IFERROR(IF(AND('Кормовой бюджет'!G21&gt;0,G24&lt;40),G30,G30+((-0.0000000031*G24^4+0.0000013234*G24^3-0.0002087068*G24^2+0.0142221655*G24-0.3126825057)*G30)),"")</f>
        <v/>
      </c>
      <c r="H28" s="13" t="str">
        <f>IFERROR(IF(AND('Кормовой бюджет'!H21&gt;0,H24&lt;40),H30,H30+((-0.0000000031*H24^4+0.0000013234*H24^3-0.0002087068*H24^2+0.0142221655*H24-0.3126825057)*H30)),"")</f>
        <v/>
      </c>
      <c r="I28" s="13" t="str">
        <f>IFERROR(IF(AND('Кормовой бюджет'!I21&gt;0,I24&lt;40),I30,I30+((-0.0000000031*I24^4+0.0000013234*I24^3-0.0002087068*I24^2+0.0142221655*I24-0.3126825057)*I30)),"")</f>
        <v/>
      </c>
      <c r="J28" s="13" t="str">
        <f>IFERROR(IF(AND('Кормовой бюджет'!J21&gt;0,J24&lt;40),J30,J30+((-0.0000000031*J24^4+0.0000013234*J24^3-0.0002087068*J24^2+0.0142221655*J24-0.3126825057)*J30)),"")</f>
        <v/>
      </c>
    </row>
    <row r="29" spans="2:15" s="9" customFormat="1" x14ac:dyDescent="0.25">
      <c r="B29" s="9" t="s">
        <v>40</v>
      </c>
      <c r="C29" s="13">
        <f>IF('Кормовой бюджет'!C21,(IF((0.000042*(C20^2)-0.02372*(C20)+6.1452)*(0.0023*(C24)+0.9644)&lt;C28,C28,(0.000042*(C20^2)-0.02372*(C20)+6.1452)*(0.0023*(C24)+0.9644)))," ")</f>
        <v>5.4078113750302848</v>
      </c>
      <c r="D29" s="13">
        <f>IF('Кормовой бюджет'!D21,(IF((0.000042*(D20^2)-0.02372*(D20)+6.1452)*(0.0023*(D24)+0.9644)&lt;D28,D28,(0.000042*(D20^2)-0.02372*(D20)+6.1452)*(0.0023*(D24)+0.9644)))," ")</f>
        <v>5.1982386693136258</v>
      </c>
      <c r="E29" s="13">
        <f>IF('Кормовой бюджет'!E21,(IF((0.000042*(E20^2)-0.02372*(E20)+6.1452)*(0.0023*(E24)+0.9644)&lt;E28,E28,(0.000042*(E20^2)-0.02372*(E20)+6.1452)*(0.0023*(E24)+0.9644)))," ")</f>
        <v>4.640150863967123</v>
      </c>
      <c r="F29" s="13" t="str">
        <f>IF('Кормовой бюджет'!F21,(IF((0.000042*(F20^2)-0.02372*(F20)+6.1452)*(0.0023*(F24)+0.9644)&lt;F28,F28,(0.000042*(F20^2)-0.02372*(F20)+6.1452)*(0.0023*(F24)+0.9644)))," ")</f>
        <v xml:space="preserve"> </v>
      </c>
      <c r="G29" s="13" t="str">
        <f>IF('Кормовой бюджет'!G21,(IF((0.000042*(G20^2)-0.02372*(G20)+6.1452)*(0.0023*(G24)+0.9644)&lt;G28,G28,(0.000042*(G20^2)-0.02372*(G20)+6.1452)*(0.0023*(G24)+0.9644)))," ")</f>
        <v xml:space="preserve"> </v>
      </c>
      <c r="H29" s="13" t="str">
        <f>IF('Кормовой бюджет'!H21,(IF((0.000042*(H20^2)-0.02372*(H20)+6.1452)*(0.0023*(H24)+0.9644)&lt;H28,H28,(0.000042*(H20^2)-0.02372*(H20)+6.1452)*(0.0023*(H24)+0.9644)))," ")</f>
        <v xml:space="preserve"> </v>
      </c>
      <c r="I29" s="13" t="str">
        <f>IF('Кормовой бюджет'!I21,(IF((0.000042*(I20^2)-0.02372*(I20)+6.1452)*(0.0023*(I24)+0.9644)&lt;I28,I28,(0.000042*(I20^2)-0.02372*(I20)+6.1452)*(0.0023*(I24)+0.9644)))," ")</f>
        <v xml:space="preserve"> </v>
      </c>
      <c r="J29" s="13" t="str">
        <f>IF('Кормовой бюджет'!J21,(IF((0.000042*(J20^2)-0.02372*(J20)+6.1452)*(0.0023*(J24)+0.9644)&lt;J28,J28,(0.000042*(J20^2)-0.02372*(J20)+6.1452)*(0.0023*(J24)+0.9644)))," ")</f>
        <v xml:space="preserve"> </v>
      </c>
    </row>
    <row r="30" spans="2:15" s="9" customFormat="1" x14ac:dyDescent="0.25">
      <c r="B30" s="9" t="s">
        <v>83</v>
      </c>
      <c r="C30" s="13">
        <f>IF(C32&gt;C31,C32,C31)</f>
        <v>3.9675364926715515</v>
      </c>
      <c r="D30" s="13">
        <f t="shared" ref="D30:J30" si="3">IF(D32&gt;D31,D32,D31)</f>
        <v>3.7752090480307121</v>
      </c>
      <c r="E30" s="13">
        <f t="shared" si="3"/>
        <v>3.2728183744077457</v>
      </c>
      <c r="F30" s="13" t="str">
        <f t="shared" si="3"/>
        <v xml:space="preserve"> </v>
      </c>
      <c r="G30" s="13" t="str">
        <f t="shared" si="3"/>
        <v xml:space="preserve"> </v>
      </c>
      <c r="H30" s="13" t="str">
        <f t="shared" si="3"/>
        <v xml:space="preserve"> </v>
      </c>
      <c r="I30" s="13" t="str">
        <f t="shared" si="3"/>
        <v xml:space="preserve"> </v>
      </c>
      <c r="J30" s="13" t="str">
        <f t="shared" si="3"/>
        <v xml:space="preserve"> </v>
      </c>
    </row>
    <row r="31" spans="2:15" s="9" customFormat="1" x14ac:dyDescent="0.25">
      <c r="B31" s="9" t="s">
        <v>41</v>
      </c>
      <c r="C31" s="14">
        <f>IF('Кормовой бюджет'!C23&gt;0,((0.0000255654*(C18^2) - 0.0157978368*(C18) +4.4555073859))*0.85," ")</f>
        <v>3.4471420059329261</v>
      </c>
      <c r="D31" s="14">
        <f>IF('Кормовой бюджет'!D23&gt;0,((0.0000255654*(D18^2) - 0.0157978368*(D18) +4.4555073859))*0.85," ")</f>
        <v>3.2993158848987649</v>
      </c>
      <c r="E31" s="14">
        <f>IF('Кормовой бюджет'!E23&gt;0,((0.0000255654*(E18^2) - 0.0157978368*(E18) +4.4555073859))*0.85," ")</f>
        <v>3.1211902907225815</v>
      </c>
      <c r="F31" s="14" t="str">
        <f>IF('Кормовой бюджет'!F23&gt;0,((0.0000255654*(F18^2) - 0.0157978368*(F18) +4.4555073859))*0.85," ")</f>
        <v xml:space="preserve"> </v>
      </c>
      <c r="G31" s="14" t="str">
        <f>IF('Кормовой бюджет'!G23&gt;0,((0.0000255654*(G18^2) - 0.0157978368*(G18) +4.4555073859))*0.85," ")</f>
        <v xml:space="preserve"> </v>
      </c>
      <c r="H31" s="14" t="str">
        <f>IF('Кормовой бюджет'!H23&gt;0,((0.0000255654*(H18^2) - 0.0157978368*(H18) +4.4555073859))*0.85," ")</f>
        <v xml:space="preserve"> </v>
      </c>
      <c r="I31" s="14" t="str">
        <f>IF('Кормовой бюджет'!I23&gt;0,((0.0000255654*(I18^2) - 0.0157978368*(I18) +4.4555073859))*0.85," ")</f>
        <v xml:space="preserve"> </v>
      </c>
      <c r="J31" s="14" t="str">
        <f>IF('Кормовой бюджет'!J23&gt;0,((0.0000255654*(J18^2) - 0.0157978368*(J18) +4.4555073859))*0.85," ")</f>
        <v xml:space="preserve"> </v>
      </c>
    </row>
    <row r="32" spans="2:15" s="9" customFormat="1" x14ac:dyDescent="0.25">
      <c r="B32" s="9" t="s">
        <v>42</v>
      </c>
      <c r="C32" s="14">
        <f>IF('Кормовой бюджет'!C23&gt;0,((0.0000255654*(C20^2) - 0.0157978368*(C20) +4.4555073859))," ")</f>
        <v>3.9675364926715515</v>
      </c>
      <c r="D32" s="14">
        <f>IF('Кормовой бюджет'!D23&gt;0,((0.0000255654*(D20^2) - 0.0157978368*(D20) +4.4555073859))," ")</f>
        <v>3.7752090480307121</v>
      </c>
      <c r="E32" s="14">
        <f>IF('Кормовой бюджет'!E23&gt;0,((0.0000255654*(E20^2) - 0.0157978368*(E20) +4.4555073859))," ")</f>
        <v>3.2728183744077457</v>
      </c>
      <c r="F32" s="14" t="str">
        <f>IF('Кормовой бюджет'!F23&gt;0,((0.0000255654*(F20^2) - 0.0157978368*(F20) +4.4555073859))," ")</f>
        <v xml:space="preserve"> </v>
      </c>
      <c r="G32" s="14" t="str">
        <f>IF('Кормовой бюджет'!G23&gt;0,((0.0000255654*(G20^2) - 0.0157978368*(G20) +4.4555073859))," ")</f>
        <v xml:space="preserve"> </v>
      </c>
      <c r="H32" s="14" t="str">
        <f>IF('Кормовой бюджет'!H23&gt;0,((0.0000255654*(H20^2) - 0.0157978368*(H20) +4.4555073859))," ")</f>
        <v xml:space="preserve"> </v>
      </c>
      <c r="I32" s="14" t="str">
        <f>IF('Кормовой бюджет'!I23&gt;0,((0.0000255654*(I20^2) - 0.0157978368*(I20) +4.4555073859))," ")</f>
        <v xml:space="preserve"> </v>
      </c>
      <c r="J32" s="14" t="str">
        <f>IF('Кормовой бюджет'!J23&gt;0,((0.0000255654*(J20^2) - 0.0157978368*(J20) +4.4555073859))," ")</f>
        <v xml:space="preserve"> </v>
      </c>
    </row>
    <row r="33" spans="2:13" s="9" customFormat="1" x14ac:dyDescent="0.25">
      <c r="C33" s="10"/>
      <c r="D33" s="10"/>
      <c r="E33" s="10"/>
      <c r="F33" s="10"/>
      <c r="G33" s="10"/>
      <c r="M33" s="31"/>
    </row>
    <row r="34" spans="2:13" s="9" customFormat="1" x14ac:dyDescent="0.25">
      <c r="B34" s="5" t="s">
        <v>84</v>
      </c>
      <c r="C34" s="10"/>
      <c r="D34" s="10"/>
      <c r="E34" s="10"/>
      <c r="F34" s="10"/>
      <c r="G34" s="10"/>
      <c r="H34" s="10"/>
    </row>
    <row r="35" spans="2:13" s="9" customFormat="1" x14ac:dyDescent="0.25">
      <c r="B35" s="9" t="str">
        <f>B27</f>
        <v xml:space="preserve">     Barrows</v>
      </c>
      <c r="C35" s="13">
        <f t="shared" ref="C35:J36" si="4">IFERROR(IF(C$7&gt;0,(C27*(C$7)/10000)," "),"")</f>
        <v>1.2696116776548965</v>
      </c>
      <c r="D35" s="13">
        <f t="shared" si="4"/>
        <v>1.2080668953698279</v>
      </c>
      <c r="E35" s="13">
        <f t="shared" si="4"/>
        <v>1.0473018798104785</v>
      </c>
      <c r="F35" s="13" t="str">
        <f t="shared" si="4"/>
        <v/>
      </c>
      <c r="G35" s="13" t="str">
        <f t="shared" si="4"/>
        <v/>
      </c>
      <c r="H35" s="13" t="str">
        <f t="shared" si="4"/>
        <v/>
      </c>
      <c r="I35" s="13" t="str">
        <f t="shared" si="4"/>
        <v/>
      </c>
      <c r="J35" s="13" t="str">
        <f t="shared" si="4"/>
        <v/>
      </c>
    </row>
    <row r="36" spans="2:13" s="9" customFormat="1" x14ac:dyDescent="0.25">
      <c r="B36" s="9" t="str">
        <f>B28</f>
        <v xml:space="preserve">     Gilts</v>
      </c>
      <c r="C36" s="13">
        <f t="shared" si="4"/>
        <v>1.2696116776548965</v>
      </c>
      <c r="D36" s="13">
        <f t="shared" si="4"/>
        <v>1.2080668953698279</v>
      </c>
      <c r="E36" s="13">
        <f t="shared" si="4"/>
        <v>1.0473018798104785</v>
      </c>
      <c r="F36" s="13" t="str">
        <f t="shared" si="4"/>
        <v/>
      </c>
      <c r="G36" s="13" t="str">
        <f t="shared" si="4"/>
        <v/>
      </c>
      <c r="H36" s="13" t="str">
        <f t="shared" si="4"/>
        <v/>
      </c>
      <c r="I36" s="13" t="str">
        <f t="shared" si="4"/>
        <v/>
      </c>
      <c r="J36" s="13" t="str">
        <f t="shared" si="4"/>
        <v/>
      </c>
    </row>
    <row r="37" spans="2:13" s="9" customFormat="1" x14ac:dyDescent="0.25">
      <c r="B37" s="9" t="s">
        <v>83</v>
      </c>
      <c r="C37" s="13">
        <f t="shared" ref="C37:J37" si="5">IFERROR(IF(C$7&gt;0,(C30*(C$7)/10000)," "),"")</f>
        <v>1.2696116776548965</v>
      </c>
      <c r="D37" s="13">
        <f t="shared" si="5"/>
        <v>1.2080668953698279</v>
      </c>
      <c r="E37" s="13">
        <f t="shared" si="5"/>
        <v>1.0473018798104785</v>
      </c>
      <c r="F37" s="13" t="str">
        <f t="shared" si="5"/>
        <v/>
      </c>
      <c r="G37" s="13" t="str">
        <f t="shared" si="5"/>
        <v/>
      </c>
      <c r="H37" s="13" t="str">
        <f t="shared" si="5"/>
        <v/>
      </c>
      <c r="I37" s="13" t="str">
        <f t="shared" si="5"/>
        <v/>
      </c>
      <c r="J37" s="13" t="str">
        <f t="shared" si="5"/>
        <v/>
      </c>
    </row>
    <row r="38" spans="2:13" s="9" customFormat="1" x14ac:dyDescent="0.25">
      <c r="B38" s="240" t="str">
        <f>(IF(C32&lt;C31,"!",IF(D32&lt;D31,"!",IF(E32&lt;E31,"!",IF(F32&lt;F31,"!",IF(G32&lt;G31,"!",IF(H32&lt;H31,"!",IF(I32&lt;I31,"!",IF(J32&lt;J31,"!"," ")))))))))</f>
        <v xml:space="preserve"> </v>
      </c>
      <c r="C38" s="241" t="str">
        <f>IF(B38="!","Because the weight range is so wide, PIC biological requirement is set as 85% of the requirement at the beginning of the phase"," ")</f>
        <v xml:space="preserve"> </v>
      </c>
      <c r="D38" s="241"/>
      <c r="E38" s="241"/>
      <c r="F38" s="241"/>
      <c r="G38" s="241"/>
      <c r="H38" s="241"/>
      <c r="I38" s="241"/>
      <c r="J38" s="241"/>
    </row>
    <row r="39" spans="2:13" s="9" customFormat="1" x14ac:dyDescent="0.25">
      <c r="B39" s="240"/>
      <c r="C39" s="241"/>
      <c r="D39" s="241"/>
      <c r="E39" s="241"/>
      <c r="F39" s="241"/>
      <c r="G39" s="241"/>
      <c r="H39" s="241"/>
      <c r="I39" s="241"/>
      <c r="J39" s="241"/>
    </row>
    <row r="42" spans="2:13" x14ac:dyDescent="0.25">
      <c r="C42" s="3"/>
      <c r="D42" s="3"/>
      <c r="E42" s="3"/>
      <c r="F42" s="3"/>
      <c r="G42" s="3"/>
    </row>
    <row r="43" spans="2:13" x14ac:dyDescent="0.25">
      <c r="C43" s="3"/>
      <c r="D43" s="3"/>
      <c r="E43" s="3"/>
      <c r="F43" s="3"/>
      <c r="G43" s="3"/>
    </row>
  </sheetData>
  <mergeCells count="2">
    <mergeCell ref="B38:B39"/>
    <mergeCell ref="C38:J39"/>
  </mergeCells>
  <dataValidations count="5">
    <dataValidation type="decimal" errorStyle="warning" allowBlank="1" showInputMessage="1" showErrorMessage="1" error="Please double check your entry" sqref="N3" xr:uid="{2F95B622-5E02-4C69-A431-8C9CADB8ED8F}">
      <formula1>30</formula1>
      <formula2>150</formula2>
    </dataValidation>
    <dataValidation type="decimal" errorStyle="warning" allowBlank="1" showInputMessage="1" showErrorMessage="1" error="Please double check your entry" sqref="C4:C5 C7:J7" xr:uid="{0383CCF8-2C3E-43F0-B621-E455265B9E75}">
      <formula1>0.1</formula1>
      <formula2>1000000</formula2>
    </dataValidation>
    <dataValidation type="decimal" errorStyle="warning" allowBlank="1" showInputMessage="1" showErrorMessage="1" error="Please double check your entry" sqref="C3" xr:uid="{C461D4EB-7EAD-4A4A-9802-BD3E0F0AC207}">
      <formula1>0</formula1>
      <formula2>1000000</formula2>
    </dataValidation>
    <dataValidation errorStyle="warning" allowBlank="1" showInputMessage="1" showErrorMessage="1" error="This calculator is based on data between 11 and 150 kg. It is not recommended to use for body weight outside of this range." sqref="C12:J17" xr:uid="{55263CD8-7AA3-4030-B028-158B53078DEA}"/>
    <dataValidation allowBlank="1" showInputMessage="1" showErrorMessage="1" error="This calculator is based on data between 6 and 150 kg. It is not recommended to use for body weight outside of this range." sqref="C9:J10" xr:uid="{497B2F20-CAEB-4EE7-AE6C-B46CC9660FBA}"/>
  </dataValidation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7B405-9CF8-4CBD-865C-ED804D495A2C}">
  <sheetPr codeName="Sheet7"/>
  <dimension ref="B1:P24"/>
  <sheetViews>
    <sheetView showGridLines="0" zoomScale="145" zoomScaleNormal="145" workbookViewId="0">
      <selection activeCell="C7" sqref="C7"/>
    </sheetView>
  </sheetViews>
  <sheetFormatPr defaultColWidth="8.85546875" defaultRowHeight="15" x14ac:dyDescent="0.25"/>
  <cols>
    <col min="2" max="2" width="27.140625" bestFit="1" customWidth="1"/>
    <col min="3" max="3" width="12.7109375" bestFit="1" customWidth="1"/>
    <col min="4" max="4" width="10.85546875" bestFit="1" customWidth="1"/>
    <col min="5" max="5" width="9.42578125" bestFit="1" customWidth="1"/>
  </cols>
  <sheetData>
    <row r="1" spans="2:16" s="7" customFormat="1" ht="121.5" customHeight="1" x14ac:dyDescent="0.25">
      <c r="C1" s="8"/>
      <c r="D1" s="8"/>
      <c r="E1" s="8"/>
      <c r="F1" s="8"/>
      <c r="G1" s="8"/>
    </row>
    <row r="2" spans="2:16" s="7" customFormat="1" ht="17.25" customHeight="1" x14ac:dyDescent="0.25">
      <c r="B2" s="55" t="s">
        <v>13</v>
      </c>
      <c r="C2" s="8"/>
      <c r="D2" s="8"/>
      <c r="E2" s="8"/>
      <c r="F2" s="8"/>
      <c r="G2" s="8"/>
    </row>
    <row r="3" spans="2:16" s="9" customFormat="1" x14ac:dyDescent="0.25">
      <c r="B3" s="5" t="s">
        <v>74</v>
      </c>
      <c r="C3" s="132">
        <f>'Curve-Barrows'!H3</f>
        <v>11.911087058338016</v>
      </c>
      <c r="D3" s="132">
        <f>IF('Кормовой бюджет'!D21&gt;0,C4,"")</f>
        <v>17.472979849762464</v>
      </c>
      <c r="E3" s="132">
        <f>IF('Кормовой бюджет'!E21&gt;0,D4,"")</f>
        <v>24.531522452278814</v>
      </c>
      <c r="F3" s="132" t="str">
        <f>IF('Кормовой бюджет'!F21&gt;0,E4,"")</f>
        <v/>
      </c>
      <c r="G3" s="132" t="str">
        <f>IF('Кормовой бюджет'!G21&gt;0,F4,"")</f>
        <v/>
      </c>
      <c r="H3" s="132" t="str">
        <f>IF('Кормовой бюджет'!H21&gt;0,G4,"")</f>
        <v/>
      </c>
      <c r="I3" s="132" t="str">
        <f>IF('Кормовой бюджет'!I21&gt;0,H4,"")</f>
        <v/>
      </c>
      <c r="J3" s="132" t="str">
        <f>IF('Кормовой бюджет'!J21&gt;0,I4,"")</f>
        <v/>
      </c>
    </row>
    <row r="4" spans="2:16" s="9" customFormat="1" x14ac:dyDescent="0.25">
      <c r="B4" s="5" t="s">
        <v>75</v>
      </c>
      <c r="C4" s="132">
        <f>IF('Кормовой бюджет'!C21&gt;0,VLOOKUP(C16,'Curve-Barrows'!$H$3:$J$185,1),"")</f>
        <v>17.472979849762464</v>
      </c>
      <c r="D4" s="132">
        <f>IF('Кормовой бюджет'!D21&gt;0,VLOOKUP(D16,'Curve-Barrows'!$H$3:$J$185,1),"")</f>
        <v>24.531522452278814</v>
      </c>
      <c r="E4" s="132">
        <f>IF('Кормовой бюджет'!E21&gt;0,VLOOKUP(E16,'Curve-Barrows'!$H$3:$J$185,1),"")</f>
        <v>54.695851161132694</v>
      </c>
      <c r="F4" s="132" t="str">
        <f>IF('Кормовой бюджет'!F21&gt;0,VLOOKUP(F16,'Curve-Barrows'!$H$3:$J$185,1),"")</f>
        <v/>
      </c>
      <c r="G4" s="132" t="str">
        <f>IF('Кормовой бюджет'!G21&gt;0,VLOOKUP(G16,'Curve-Barrows'!$H$3:$J$185,1),"")</f>
        <v/>
      </c>
      <c r="H4" s="33" t="str">
        <f>IF('Кормовой бюджет'!H21&gt;0,VLOOKUP(H16,'Curve-Barrows'!$H$3:$J$185,1),"")</f>
        <v/>
      </c>
      <c r="I4" s="33" t="str">
        <f>IF('Кормовой бюджет'!I21&gt;0,VLOOKUP(I16,'Curve-Barrows'!$H$3:$J$185,1),"")</f>
        <v/>
      </c>
      <c r="J4" s="33" t="str">
        <f>IF('Кормовой бюджет'!J21&gt;0,VLOOKUP(J16,'Curve-Barrows'!$H$3:$J$185,1),"")</f>
        <v/>
      </c>
    </row>
    <row r="5" spans="2:16" s="9" customFormat="1" x14ac:dyDescent="0.25">
      <c r="B5" s="5" t="s">
        <v>76</v>
      </c>
      <c r="C5" s="33">
        <f>IFERROR(IF('Кормовой бюджет'!D$21&gt;0,(C7-C6),(C7-C6+'Adj-Barrows'!$I$4))," ")</f>
        <v>10.19228078159021</v>
      </c>
      <c r="D5" s="33">
        <f>IFERROR(IF('Кормовой бюджет'!E$21&gt;0,(D7-D6),(D7-D6+'Adj-Barrows'!$I$4))," ")</f>
        <v>14.85230740701871</v>
      </c>
      <c r="E5" s="33">
        <f>IFERROR(IF('Кормовой бюджет'!F$21&gt;0,(E7-E6),(E7-E6+'Adj-Barrows'!$I$4))," ")</f>
        <v>77.833755028300544</v>
      </c>
      <c r="F5" s="33" t="str">
        <f>IFERROR(IF('Кормовой бюджет'!G$21&gt;0,(F7-F6),(F7-F6+'Adj-Barrows'!$I$4))," ")</f>
        <v xml:space="preserve"> </v>
      </c>
      <c r="G5" s="33" t="str">
        <f>IFERROR(IF('Кормовой бюджет'!H$21&gt;0,(G7-G6),(G7-G6+'Adj-Barrows'!$I$4))," ")</f>
        <v xml:space="preserve"> </v>
      </c>
      <c r="H5" s="33" t="str">
        <f>IFERROR(IF('Кормовой бюджет'!I$21&gt;0,(H7-H6),(H7-H6+'Adj-Barrows'!$I$4))," ")</f>
        <v xml:space="preserve"> </v>
      </c>
      <c r="I5" s="33" t="str">
        <f>IFERROR(IF('Кормовой бюджет'!J$21&gt;0,(I7-I6),(I7-I6+'Adj-Barrows'!$I$4))," ")</f>
        <v xml:space="preserve"> </v>
      </c>
      <c r="J5" s="33" t="str">
        <f>IFERROR(IF('Кормовой бюджет'!K$21&gt;0,(J7-J6),(J7-J6+'Adj-Barrows'!$I$4))," ")</f>
        <v xml:space="preserve"> </v>
      </c>
    </row>
    <row r="6" spans="2:16" s="9" customFormat="1" x14ac:dyDescent="0.25">
      <c r="B6" s="5"/>
      <c r="C6" s="33">
        <v>0</v>
      </c>
      <c r="D6" s="33">
        <f>IF('Кормовой бюджет'!D$21&gt;0,VLOOKUP(D15,'Curve-Barrows'!$H$3:$K$185,4),"")</f>
        <v>10.19228078159021</v>
      </c>
      <c r="E6" s="33">
        <f>IF('Кормовой бюджет'!E$21&gt;0,VLOOKUP(E15,'Curve-Barrows'!$H$3:$K$185,4),"")</f>
        <v>25.04458818860892</v>
      </c>
      <c r="F6" s="33" t="str">
        <f>IF('Кормовой бюджет'!F$21&gt;0,VLOOKUP(F15,'Curve-Barrows'!$H$3:$K$185,4),"")</f>
        <v/>
      </c>
      <c r="G6" s="33" t="str">
        <f>IF('Кормовой бюджет'!G$21&gt;0,VLOOKUP(G15,'Curve-Barrows'!$H$3:$K$185,4),"")</f>
        <v/>
      </c>
      <c r="H6" s="33" t="str">
        <f>IF('Кормовой бюджет'!H$21&gt;0,VLOOKUP(H15,'Curve-Barrows'!$H$3:$K$185,4),"")</f>
        <v/>
      </c>
      <c r="I6" s="33" t="str">
        <f>IF('Кормовой бюджет'!I$21&gt;0,VLOOKUP(I15,'Curve-Barrows'!$H$3:$K$185,4),"")</f>
        <v/>
      </c>
      <c r="J6" s="33" t="str">
        <f>IF('Кормовой бюджет'!J$21&gt;0,VLOOKUP(J15,'Curve-Barrows'!$H$3:$K$185,4),"")</f>
        <v/>
      </c>
    </row>
    <row r="7" spans="2:16" s="9" customFormat="1" x14ac:dyDescent="0.25">
      <c r="B7" s="5"/>
      <c r="C7" s="33">
        <f>IF('Кормовой бюджет'!C$21&gt;0,VLOOKUP(C16,'Curve-Barrows'!$H$3:$K$185,4),"")</f>
        <v>10.19228078159021</v>
      </c>
      <c r="D7" s="33">
        <f>IF('Кормовой бюджет'!D$21&gt;0,VLOOKUP(D16,'Curve-Barrows'!$H$3:$K$185,4),"")</f>
        <v>25.04458818860892</v>
      </c>
      <c r="E7" s="33">
        <f>IF('Кормовой бюджет'!E$21&gt;0,VLOOKUP(E16,'Curve-Barrows'!$H$3:$K$185,4),"")</f>
        <v>102.87834321690946</v>
      </c>
      <c r="F7" s="33" t="str">
        <f>IF('Кормовой бюджет'!F$21&gt;0,VLOOKUP(F16,'Curve-Barrows'!$H$3:$K$185,4),"")</f>
        <v/>
      </c>
      <c r="G7" s="33" t="str">
        <f>IF('Кормовой бюджет'!G$21&gt;0,VLOOKUP(G16,'Curve-Barrows'!$H$3:$K$185,4),"")</f>
        <v/>
      </c>
      <c r="H7" s="33" t="str">
        <f>IF('Кормовой бюджет'!H$21&gt;0,VLOOKUP(H16,'Curve-Barrows'!$H$3:$K$185,4),"")</f>
        <v/>
      </c>
      <c r="I7" s="33" t="str">
        <f>IF('Кормовой бюджет'!I$21&gt;0,VLOOKUP(I16,'Curve-Barrows'!$H$3:$K$185,4),"")</f>
        <v/>
      </c>
      <c r="J7" s="33" t="str">
        <f>IF('Кормовой бюджет'!J$21&gt;0,VLOOKUP(J16,'Curve-Barrows'!$H$3:$K$185,4),"")</f>
        <v/>
      </c>
    </row>
    <row r="8" spans="2:16" s="9" customFormat="1" x14ac:dyDescent="0.25">
      <c r="B8" s="5" t="s">
        <v>77</v>
      </c>
      <c r="C8" s="11">
        <f>IFERROR(IF('Кормовой бюджет'!D$21&gt;0,(C10-C9),(C10-C9+1)),"")</f>
        <v>15</v>
      </c>
      <c r="D8" s="11">
        <f>IFERROR(IF('Кормовой бюджет'!E$21&gt;0,(D10-D9),(D10-D9+1)),"")</f>
        <v>10</v>
      </c>
      <c r="E8" s="11">
        <f>IFERROR(IF('Кормовой бюджет'!F$21&gt;0,(E10-E9),(E10-E9+1)),"")</f>
        <v>29</v>
      </c>
      <c r="F8" s="11" t="str">
        <f>IFERROR(IF('Кормовой бюджет'!G$21&gt;0,(F10-F9),(F10-F9+1)),"")</f>
        <v/>
      </c>
      <c r="G8" s="11" t="str">
        <f>IFERROR(IF('Кормовой бюджет'!H$21&gt;0,(G10-G9),(G10-G9+1)),"")</f>
        <v/>
      </c>
      <c r="H8" s="11" t="str">
        <f>IFERROR(IF('Кормовой бюджет'!I$21&gt;0,(H10-H9),(H10-H9+1)),"")</f>
        <v/>
      </c>
      <c r="I8" s="11" t="str">
        <f>IFERROR(IF('Кормовой бюджет'!J$21&gt;0,(I10-I9),(I10-I9+1)),"")</f>
        <v/>
      </c>
      <c r="J8" s="11" t="str">
        <f>IFERROR(IF('Кормовой бюджет'!K$21&gt;0,(J10-J9),(J10-J9+1)),"")</f>
        <v/>
      </c>
    </row>
    <row r="9" spans="2:16" s="9" customFormat="1" x14ac:dyDescent="0.25">
      <c r="B9" s="5"/>
      <c r="C9" s="11">
        <f>IF('Кормовой бюджет'!C$21&gt;0,VLOOKUP(C3,'Curve-Barrows'!$H$3:$K$185,2),"")</f>
        <v>21</v>
      </c>
      <c r="D9" s="11">
        <f>IF('Кормовой бюджет'!D$21&gt;0,VLOOKUP(D3,'Curve-Barrows'!$H$3:$K$185,2),"")</f>
        <v>36</v>
      </c>
      <c r="E9" s="11">
        <f>IF('Кормовой бюджет'!E$21&gt;0,VLOOKUP(E3,'Curve-Barrows'!$H$3:$K$185,2),"")</f>
        <v>46</v>
      </c>
      <c r="F9" s="11" t="str">
        <f>IF('Кормовой бюджет'!F$21&gt;0,VLOOKUP(F3,'Curve-Barrows'!$H$3:$K$185,2),"")</f>
        <v/>
      </c>
      <c r="G9" s="11" t="str">
        <f>IF('Кормовой бюджет'!G$21&gt;0,VLOOKUP(G3,'Curve-Barrows'!$H$3:$K$185,2),"")</f>
        <v/>
      </c>
      <c r="H9" s="11" t="str">
        <f>IF('Кормовой бюджет'!H$21&gt;0,VLOOKUP(H3,'Curve-Barrows'!$H$3:$K$185,2),"")</f>
        <v/>
      </c>
      <c r="I9" s="11" t="str">
        <f>IF('Кормовой бюджет'!I$21&gt;0,VLOOKUP(I3,'Curve-Barrows'!$H$3:$K$185,2),"")</f>
        <v/>
      </c>
      <c r="J9" s="11" t="str">
        <f>IF('Кормовой бюджет'!J$21&gt;0,VLOOKUP(J3,'Curve-Barrows'!$H$3:$K$185,2),"")</f>
        <v/>
      </c>
    </row>
    <row r="10" spans="2:16" s="9" customFormat="1" x14ac:dyDescent="0.25">
      <c r="B10" s="5"/>
      <c r="C10" s="11">
        <f>IF('Кормовой бюджет'!C$21&gt;0,VLOOKUP(C4,'Curve-Barrows'!$H$3:$K$185,2),"")</f>
        <v>36</v>
      </c>
      <c r="D10" s="11">
        <f>IF('Кормовой бюджет'!D$21&gt;0,VLOOKUP(D4,'Curve-Barrows'!$H$3:$K$185,2),"")</f>
        <v>46</v>
      </c>
      <c r="E10" s="11">
        <f>IF('Кормовой бюджет'!E$21&gt;0,VLOOKUP(E4,'Curve-Barrows'!$H$3:$K$185,2),"")</f>
        <v>74</v>
      </c>
      <c r="F10" s="11" t="str">
        <f>IF('Кормовой бюджет'!F$21&gt;0,VLOOKUP(F4,'Curve-Barrows'!$H$3:$K$185,2),"")</f>
        <v/>
      </c>
      <c r="G10" s="11" t="str">
        <f>IF('Кормовой бюджет'!G$21&gt;0,VLOOKUP(G4,'Curve-Barrows'!$H$3:$K$185,2),"")</f>
        <v/>
      </c>
      <c r="H10" s="11" t="str">
        <f>IF('Кормовой бюджет'!H$21&gt;0,VLOOKUP(H4,'Curve-Barrows'!$H$3:$K$185,2),"")</f>
        <v/>
      </c>
      <c r="I10" s="11" t="str">
        <f>IF('Кормовой бюджет'!I$21&gt;0,VLOOKUP(I4,'Curve-Barrows'!$H$3:$K$185,2),"")</f>
        <v/>
      </c>
      <c r="J10" s="11" t="str">
        <f>IF('Кормовой бюджет'!J$21&gt;0,VLOOKUP(J4,'Curve-Barrows'!$H$3:$K$185,2),"")</f>
        <v/>
      </c>
    </row>
    <row r="11" spans="2:16" s="9" customFormat="1" x14ac:dyDescent="0.25">
      <c r="B11" s="9" t="s">
        <v>78</v>
      </c>
      <c r="C11" s="13">
        <f>IF('Кормовой бюджет'!C21&gt;0,CONVERT(C3*1000,"g","lbm")," ")</f>
        <v>26.259451979622174</v>
      </c>
      <c r="D11" s="11">
        <f>IF('Кормовой бюджет'!D21&gt;0,CONVERT(D15*1000,"g","lbm")," ")</f>
        <v>38.959131349670095</v>
      </c>
      <c r="E11" s="11">
        <f>IF('Кормовой бюджет'!E21&gt;0,CONVERT(E15*1000,"g","lbm")," ")</f>
        <v>54.186595922716393</v>
      </c>
      <c r="F11" s="11" t="str">
        <f>IF('Кормовой бюджет'!F21&gt;0,CONVERT(F15*1000,"g","lbm")," ")</f>
        <v xml:space="preserve"> </v>
      </c>
      <c r="G11" s="11" t="str">
        <f>IF('Кормовой бюджет'!G21&gt;0,CONVERT(G15*1000,"g","lbm")," ")</f>
        <v xml:space="preserve"> </v>
      </c>
      <c r="H11" s="11" t="str">
        <f>IF('Кормовой бюджет'!H21&gt;0,CONVERT(H15*1000,"g","lbm")," ")</f>
        <v xml:space="preserve"> </v>
      </c>
      <c r="I11" s="11" t="str">
        <f>IF('Кормовой бюджет'!I21&gt;0,CONVERT(I15*1000,"g","lbm")," ")</f>
        <v xml:space="preserve"> </v>
      </c>
      <c r="J11" s="11" t="str">
        <f>IF('Кормовой бюджет'!J21&gt;0,CONVERT(J15*1000,"g","lbm")," ")</f>
        <v xml:space="preserve"> </v>
      </c>
    </row>
    <row r="12" spans="2:16" s="9" customFormat="1" x14ac:dyDescent="0.25">
      <c r="B12" s="9" t="s">
        <v>79</v>
      </c>
      <c r="C12" s="11">
        <f>IF('Кормовой бюджет'!C21&gt;0,CONVERT(C16*1000,"g","lbm")," ")</f>
        <v>38.959131349670095</v>
      </c>
      <c r="D12" s="11">
        <f>IF('Кормовой бюджет'!D21&gt;0,CONVERT(D16*1000,"g","lbm")," ")</f>
        <v>54.186595922716393</v>
      </c>
      <c r="E12" s="11">
        <f>IF('Кормовой бюджет'!E21&gt;0,CONVERT(E16*1000,"g","lbm")," ")</f>
        <v>120.58371079110677</v>
      </c>
      <c r="F12" s="11" t="str">
        <f>IF('Кормовой бюджет'!F21&gt;0,CONVERT(F16*1000,"g","lbm")," ")</f>
        <v xml:space="preserve"> </v>
      </c>
      <c r="G12" s="11" t="str">
        <f>IF('Кормовой бюджет'!G21&gt;0,CONVERT(G16*1000,"g","lbm")," ")</f>
        <v xml:space="preserve"> </v>
      </c>
      <c r="H12" s="11" t="str">
        <f>IF('Кормовой бюджет'!H21&gt;0,CONVERT(H16*1000,"g","lbm")," ")</f>
        <v xml:space="preserve"> </v>
      </c>
      <c r="I12" s="11" t="str">
        <f>IF('Кормовой бюджет'!I21&gt;0,CONVERT(I16*1000,"g","lbm")," ")</f>
        <v xml:space="preserve"> </v>
      </c>
      <c r="J12" s="11" t="str">
        <f>IF('Кормовой бюджет'!J21&gt;0,CONVERT(J16*1000,"g","lbm")," ")</f>
        <v xml:space="preserve"> </v>
      </c>
    </row>
    <row r="13" spans="2:16" s="9" customFormat="1" x14ac:dyDescent="0.25">
      <c r="C13" s="82">
        <f>IFERROR(IF(C11&gt;0,AVERAGE(C11:C12)," "),"")</f>
        <v>32.609291664646136</v>
      </c>
      <c r="D13" s="12">
        <f t="shared" ref="D13:J13" si="0">IFERROR(IF(D11&gt;0,AVERAGE(D11:D12)," "),"")</f>
        <v>46.572863636193247</v>
      </c>
      <c r="E13" s="12">
        <f t="shared" si="0"/>
        <v>87.385153356911587</v>
      </c>
      <c r="F13" s="12" t="str">
        <f t="shared" si="0"/>
        <v/>
      </c>
      <c r="G13" s="12" t="str">
        <f t="shared" si="0"/>
        <v/>
      </c>
      <c r="H13" s="12" t="str">
        <f t="shared" si="0"/>
        <v/>
      </c>
      <c r="I13" s="12" t="str">
        <f t="shared" si="0"/>
        <v/>
      </c>
      <c r="J13" s="12" t="str">
        <f t="shared" si="0"/>
        <v/>
      </c>
    </row>
    <row r="14" spans="2:16" s="9" customFormat="1" x14ac:dyDescent="0.25">
      <c r="C14" s="12"/>
      <c r="D14" s="12"/>
      <c r="E14" s="12"/>
      <c r="F14" s="12"/>
      <c r="G14" s="12"/>
      <c r="H14" s="10"/>
      <c r="O14" s="40"/>
      <c r="P14" s="40"/>
    </row>
    <row r="15" spans="2:16" s="9" customFormat="1" x14ac:dyDescent="0.25">
      <c r="B15" s="9" t="s">
        <v>74</v>
      </c>
      <c r="C15" s="130">
        <f>'Curve-Barrows'!H3</f>
        <v>11.911087058338016</v>
      </c>
      <c r="D15" s="130">
        <f>IF('Кормовой бюджет'!D23&gt;0,C16,"")</f>
        <v>17.671564722038159</v>
      </c>
      <c r="E15" s="130">
        <f>IF('Кормовой бюджет'!E23&gt;0,D16,"")</f>
        <v>24.578626466817266</v>
      </c>
      <c r="F15" s="130" t="str">
        <f>IF('Кормовой бюджет'!F23&gt;0,E16,"")</f>
        <v/>
      </c>
      <c r="G15" s="130" t="str">
        <f>IF('Кормовой бюджет'!G23&gt;0,F16,"")</f>
        <v/>
      </c>
      <c r="H15" s="48" t="str">
        <f>IF('Кормовой бюджет'!H23&gt;0,G16,"")</f>
        <v/>
      </c>
      <c r="I15" s="48" t="str">
        <f>IF('Кормовой бюджет'!I23&gt;0,H16,"")</f>
        <v/>
      </c>
      <c r="J15" s="48" t="str">
        <f>IF('Кормовой бюджет'!J23&gt;0,I16,"")</f>
        <v/>
      </c>
    </row>
    <row r="16" spans="2:16" s="9" customFormat="1" x14ac:dyDescent="0.25">
      <c r="B16" s="9" t="s">
        <v>75</v>
      </c>
      <c r="C16" s="130">
        <f>IF(IF('Кормовой бюджет'!D21&gt;0,(2*(CONVERT(C24,"lbm","kg"))-C15),MAX('I-Mixed'!C10:J10))&gt;0,IF('Кормовой бюджет'!D21&gt;0,(2*(CONVERT(C24,"lbm","kg"))-C15),MAX('Curve-Barrows'!$H$3:$H$185)),"")</f>
        <v>17.671564722038159</v>
      </c>
      <c r="D16" s="130">
        <f>IF(IF('Кормовой бюджет'!E21&gt;0,(2*(CONVERT(D24,"lbm","kg"))-D15),MAX('I-Mixed'!D10:K10))&gt;0,IF('Кормовой бюджет'!E21&gt;0,(2*(CONVERT(D24,"lbm","kg"))-D15),MAX('Curve-Barrows'!$H$3:$H$185)),"")</f>
        <v>24.578626466817266</v>
      </c>
      <c r="E16" s="130">
        <f>IF(IF('Кормовой бюджет'!F21&gt;0,(2*(CONVERT(E24,"lbm","kg"))-E15),MAX('I-Mixed'!E10:L10))&gt;0,IF('Кормовой бюджет'!F21&gt;0,(2*(CONVERT(E24,"lbm","kg"))-E15),MAX('Curve-Barrows'!$H$3:$H$185)),"")</f>
        <v>54.695851161132694</v>
      </c>
      <c r="F16" s="130" t="str">
        <f>IF(IF('Кормовой бюджет'!G21&gt;0,(2*(CONVERT(F24,"lbm","kg"))-F15),MAX('I-Mixed'!F10:M10))&gt;0,IF('Кормовой бюджет'!G21&gt;0,(2*(CONVERT(F24,"lbm","kg"))-F15),MAX('Curve-Barrows'!$H$3:$H$185)),"")</f>
        <v/>
      </c>
      <c r="G16" s="130" t="str">
        <f>IF(IF('Кормовой бюджет'!H21&gt;0,(2*(CONVERT(G24,"lbm","kg"))-G15),MAX('I-Mixed'!G10:N10))&gt;0,IF('Кормовой бюджет'!H21&gt;0,(2*(CONVERT(G24,"lbm","kg"))-G15),MAX('Curve-Barrows'!$H$3:$H$185)),"")</f>
        <v/>
      </c>
      <c r="H16" s="118" t="str">
        <f>IF(IF('Кормовой бюджет'!I21&gt;0,(2*(CONVERT(H24,"lbm","kg"))-H15),MAX('I-Mixed'!H10:O10))&gt;0,IF('Кормовой бюджет'!I21&gt;0,(2*(CONVERT(H24,"lbm","kg"))-H15),MAX('Curve-Barrows'!$H$3:$H$185)),"")</f>
        <v/>
      </c>
      <c r="I16" s="118" t="str">
        <f>IF(IF('Кормовой бюджет'!J21&gt;0,(2*(CONVERT(I24,"lbm","kg"))-I15),MAX('I-Mixed'!I10:P10))&gt;0,IF('Кормовой бюджет'!J21&gt;0,(2*(CONVERT(I24,"lbm","kg"))-I15),MAX('Curve-Barrows'!$H$3:$H$185)),"")</f>
        <v/>
      </c>
      <c r="J16" s="41" t="str">
        <f>IF(IF('Кормовой бюджет'!K21&gt;0,(2*(CONVERT(J24,"lbm","kg"))-J15),MAX('I-Mixed'!J10:Q10))&gt;0,IF('Кормовой бюджет'!K21&gt;0,(2*(CONVERT(J24,"lbm","kg"))-J15),MAX('Curve-Barrows'!$H$3:$H$185)),"")</f>
        <v/>
      </c>
    </row>
    <row r="18" spans="2:10" x14ac:dyDescent="0.25">
      <c r="B18" s="9" t="s">
        <v>85</v>
      </c>
      <c r="C18" s="9">
        <f>IF('Кормовой бюджет'!C21&gt;0,0.0000255654,"")</f>
        <v>2.5565400000000001E-5</v>
      </c>
      <c r="D18" s="9">
        <f>IF('Кормовой бюджет'!D21&gt;0,0.0000255654,"")</f>
        <v>2.5565400000000001E-5</v>
      </c>
      <c r="E18" s="9">
        <f>IF('Кормовой бюджет'!E21&gt;0,0.0000255654,"")</f>
        <v>2.5565400000000001E-5</v>
      </c>
      <c r="F18" s="9" t="str">
        <f>IF('Кормовой бюджет'!F21&gt;0,0.0000255654,"")</f>
        <v/>
      </c>
      <c r="G18" s="9" t="str">
        <f>IF('Кормовой бюджет'!G21&gt;0,0.0000255654,"")</f>
        <v/>
      </c>
      <c r="H18" s="9" t="str">
        <f>IF('Кормовой бюджет'!H21&gt;0,0.0000255654,"")</f>
        <v/>
      </c>
      <c r="I18" s="9" t="str">
        <f>IF('Кормовой бюджет'!I21&gt;0,0.0000255654,"")</f>
        <v/>
      </c>
      <c r="J18" s="9" t="str">
        <f>IF('Кормовой бюджет'!J21&gt;0,0.0000255654,"")</f>
        <v/>
      </c>
    </row>
    <row r="19" spans="2:10" x14ac:dyDescent="0.25">
      <c r="B19" s="9" t="s">
        <v>86</v>
      </c>
      <c r="C19" s="9">
        <f>IF('Кормовой бюджет'!C21&gt;0,-0.0157978368,"")</f>
        <v>-1.5797836799999999E-2</v>
      </c>
      <c r="D19" s="9">
        <f>IF('Кормовой бюджет'!D21&gt;0,-0.0157978368,"")</f>
        <v>-1.5797836799999999E-2</v>
      </c>
      <c r="E19" s="9">
        <f>IF('Кормовой бюджет'!E21&gt;0,-0.0157978368,"")</f>
        <v>-1.5797836799999999E-2</v>
      </c>
      <c r="F19" s="9" t="str">
        <f>IF('Кормовой бюджет'!F21&gt;0,-0.0157978368,"")</f>
        <v/>
      </c>
      <c r="G19" s="9" t="str">
        <f>IF('Кормовой бюджет'!G21&gt;0,-0.0157978368,"")</f>
        <v/>
      </c>
      <c r="H19" s="9" t="str">
        <f>IF('Кормовой бюджет'!H21&gt;0,-0.0157978368,"")</f>
        <v/>
      </c>
      <c r="I19" s="9" t="str">
        <f>IF('Кормовой бюджет'!I21&gt;0,-0.0157978368,"")</f>
        <v/>
      </c>
      <c r="J19" s="9" t="str">
        <f>IF('Кормовой бюджет'!J21&gt;0,-0.0157978368,"")</f>
        <v/>
      </c>
    </row>
    <row r="20" spans="2:10" x14ac:dyDescent="0.25">
      <c r="B20" s="9" t="s">
        <v>87</v>
      </c>
      <c r="C20" s="9">
        <f>IF('Кормовой бюджет'!C21&gt;0,4.4555073859,"")</f>
        <v>4.4555073858999998</v>
      </c>
      <c r="D20" s="9">
        <f>IF('Кормовой бюджет'!D21&gt;0,4.4555073859,"")</f>
        <v>4.4555073858999998</v>
      </c>
      <c r="E20" s="9">
        <f>IF('Кормовой бюджет'!E21&gt;0,4.4555073859,"")</f>
        <v>4.4555073858999998</v>
      </c>
      <c r="F20" s="9" t="str">
        <f>IF('Кормовой бюджет'!F21&gt;0,4.4555073859,"")</f>
        <v/>
      </c>
      <c r="G20" s="9" t="str">
        <f>IF('Кормовой бюджет'!G21&gt;0,4.4555073859,"")</f>
        <v/>
      </c>
      <c r="H20" s="9" t="str">
        <f>IF('Кормовой бюджет'!H21&gt;0,4.4555073859,"")</f>
        <v/>
      </c>
      <c r="I20" s="9" t="str">
        <f>IF('Кормовой бюджет'!I21&gt;0,4.4555073859,"")</f>
        <v/>
      </c>
      <c r="J20" s="9" t="str">
        <f>IF('Кормовой бюджет'!J21&gt;0,4.4555073859,"")</f>
        <v/>
      </c>
    </row>
    <row r="21" spans="2:10" x14ac:dyDescent="0.25">
      <c r="B21" s="9" t="s">
        <v>88</v>
      </c>
      <c r="C21" s="52">
        <f>IF('Кормовой бюджет'!C21&gt;0,'I-Mixed'!C28," ")</f>
        <v>3.9675364926715515</v>
      </c>
      <c r="D21" s="52">
        <f>IF('Кормовой бюджет'!D21&gt;0,'I-Mixed'!D28," ")</f>
        <v>3.7752090480307121</v>
      </c>
      <c r="E21" s="52">
        <f>IF('Кормовой бюджет'!E21&gt;0,'I-Mixed'!E28," ")</f>
        <v>3.2728183744077457</v>
      </c>
      <c r="F21" s="52" t="str">
        <f>IF('Кормовой бюджет'!F21&gt;0,'I-Mixed'!F28," ")</f>
        <v xml:space="preserve"> </v>
      </c>
      <c r="G21" s="52" t="str">
        <f>IF('Кормовой бюджет'!G21&gt;0,'I-Mixed'!G28," ")</f>
        <v xml:space="preserve"> </v>
      </c>
      <c r="H21" s="52" t="str">
        <f>IF('Кормовой бюджет'!H21&gt;0,'I-Mixed'!H28," ")</f>
        <v xml:space="preserve"> </v>
      </c>
      <c r="I21" s="52" t="str">
        <f>IF('Кормовой бюджет'!I21&gt;0,'I-Mixed'!I28," ")</f>
        <v xml:space="preserve"> </v>
      </c>
      <c r="J21" s="52" t="str">
        <f>IF('Кормовой бюджет'!J21&gt;0,'I-Mixed'!J28," ")</f>
        <v xml:space="preserve"> </v>
      </c>
    </row>
    <row r="22" spans="2:10" x14ac:dyDescent="0.25">
      <c r="B22" s="9" t="s">
        <v>89</v>
      </c>
      <c r="C22" s="9">
        <f>IF('Кормовой бюджет'!C21&gt;0,SQRT((C19)^2-4*C18*(C20-C21))," ")</f>
        <v>1.4130497629753311E-2</v>
      </c>
      <c r="D22" s="9">
        <f>IF('Кормовой бюджет'!D21&gt;0,SQRT((D19)^2-4*D18*(D20-D21))," ")</f>
        <v>1.341652902399053E-2</v>
      </c>
      <c r="E22" s="9">
        <f>IF('Кормовой бюджет'!E21&gt;0,SQRT((E19)^2-4*E18*(E20-E21))," ")</f>
        <v>1.1341427464910134E-2</v>
      </c>
      <c r="F22" s="9" t="str">
        <f>IF('Кормовой бюджет'!F21&gt;0,SQRT((F19)^2-4*F18*(F20-F21))," ")</f>
        <v xml:space="preserve"> </v>
      </c>
      <c r="G22" s="9" t="str">
        <f>IF('Кормовой бюджет'!G21&gt;0,SQRT((G19)^2-4*G18*(G20-G21))," ")</f>
        <v xml:space="preserve"> </v>
      </c>
      <c r="H22" s="9" t="str">
        <f>IF('Кормовой бюджет'!H21&gt;0,SQRT((H19)^2-4*H18*(H20-H21))," ")</f>
        <v xml:space="preserve"> </v>
      </c>
      <c r="I22" s="9" t="str">
        <f>IF('Кормовой бюджет'!I21&gt;0,SQRT((I19)^2-4*I18*(I20-I21))," ")</f>
        <v xml:space="preserve"> </v>
      </c>
      <c r="J22" s="9" t="str">
        <f>IF('Кормовой бюджет'!J21&gt;0,SQRT((J19)^2-4*J18*(J20-J21))," ")</f>
        <v xml:space="preserve"> </v>
      </c>
    </row>
    <row r="23" spans="2:10" x14ac:dyDescent="0.25">
      <c r="B23" s="9" t="s">
        <v>90</v>
      </c>
      <c r="C23" s="9">
        <f>IF('Кормовой бюджет'!C21&gt;0,2*C18,"")</f>
        <v>5.1130800000000002E-5</v>
      </c>
      <c r="D23" s="9">
        <f>IF('Кормовой бюджет'!D21&gt;0,2*D18,"")</f>
        <v>5.1130800000000002E-5</v>
      </c>
      <c r="E23" s="9">
        <f>IF('Кормовой бюджет'!E21&gt;0,2*E18,"")</f>
        <v>5.1130800000000002E-5</v>
      </c>
      <c r="F23" s="9" t="str">
        <f>IF('Кормовой бюджет'!F21&gt;0,2*F18,"")</f>
        <v/>
      </c>
      <c r="G23" s="9" t="str">
        <f>IF('Кормовой бюджет'!G21&gt;0,2*G18,"")</f>
        <v/>
      </c>
      <c r="H23" s="9" t="str">
        <f>IF('Кормовой бюджет'!H21&gt;0,2*H18,"")</f>
        <v/>
      </c>
      <c r="I23" s="9" t="str">
        <f>IF('Кормовой бюджет'!I21&gt;0,2*I18,"")</f>
        <v/>
      </c>
      <c r="J23" s="9" t="str">
        <f>IF('Кормовой бюджет'!J21&gt;0,2*J18,"")</f>
        <v/>
      </c>
    </row>
    <row r="24" spans="2:10" x14ac:dyDescent="0.25">
      <c r="B24" s="9"/>
      <c r="C24" s="52">
        <f>IFERROR((-C19-C22)/C23," ")</f>
        <v>32.609291664646136</v>
      </c>
      <c r="D24" s="50">
        <f t="shared" ref="D24:J24" si="1">IFERROR((-D19-D22)/D23," ")</f>
        <v>46.57286363619324</v>
      </c>
      <c r="E24" s="50">
        <f t="shared" si="1"/>
        <v>87.157043016926494</v>
      </c>
      <c r="F24" s="50" t="str">
        <f t="shared" si="1"/>
        <v xml:space="preserve"> </v>
      </c>
      <c r="G24" s="50" t="str">
        <f t="shared" si="1"/>
        <v xml:space="preserve"> </v>
      </c>
      <c r="H24" s="50" t="str">
        <f t="shared" si="1"/>
        <v xml:space="preserve"> </v>
      </c>
      <c r="I24" s="50" t="str">
        <f t="shared" si="1"/>
        <v xml:space="preserve"> </v>
      </c>
      <c r="J24" s="50" t="str">
        <f t="shared" si="1"/>
        <v xml:space="preserve"> </v>
      </c>
    </row>
  </sheetData>
  <dataValidations count="1">
    <dataValidation errorStyle="warning" allowBlank="1" showInputMessage="1" showErrorMessage="1" error="This calculator is based on data between 11 and 150 kg. It is not recommended to use for body weight outside of this range." sqref="C3:J10" xr:uid="{DB4C0BD6-CD83-4FE0-9AED-DB1BB26D0FF7}"/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5AFC-2254-4CC3-87C3-9C8B5BD29761}">
  <sheetPr codeName="Sheet8"/>
  <dimension ref="B1:X30"/>
  <sheetViews>
    <sheetView showGridLines="0" zoomScale="145" zoomScaleNormal="145" workbookViewId="0">
      <selection activeCell="C7" sqref="C7"/>
    </sheetView>
  </sheetViews>
  <sheetFormatPr defaultColWidth="8.85546875" defaultRowHeight="15" x14ac:dyDescent="0.25"/>
  <cols>
    <col min="2" max="2" width="27.140625" bestFit="1" customWidth="1"/>
    <col min="3" max="3" width="12.7109375" bestFit="1" customWidth="1"/>
    <col min="4" max="4" width="10.85546875" bestFit="1" customWidth="1"/>
    <col min="5" max="5" width="9.42578125" bestFit="1" customWidth="1"/>
    <col min="15" max="15" width="12.7109375" bestFit="1" customWidth="1"/>
  </cols>
  <sheetData>
    <row r="1" spans="2:24" s="7" customFormat="1" ht="121.5" customHeight="1" x14ac:dyDescent="0.25">
      <c r="C1" s="8"/>
      <c r="D1" s="8"/>
      <c r="E1" s="8"/>
      <c r="F1" s="8"/>
      <c r="G1" s="8"/>
    </row>
    <row r="2" spans="2:24" s="7" customFormat="1" ht="17.25" customHeight="1" x14ac:dyDescent="0.25">
      <c r="B2" s="55" t="s">
        <v>14</v>
      </c>
      <c r="C2" s="8"/>
      <c r="D2" s="8"/>
      <c r="E2" s="8"/>
      <c r="F2" s="8"/>
      <c r="G2" s="8"/>
    </row>
    <row r="3" spans="2:24" s="9" customFormat="1" x14ac:dyDescent="0.25">
      <c r="B3" s="5" t="s">
        <v>74</v>
      </c>
      <c r="C3" s="132">
        <f>'Curve-Gilts'!H3</f>
        <v>12.089576651964517</v>
      </c>
      <c r="D3" s="132">
        <f>IF('Кормовой бюджет'!D21&gt;0,'I-Gilts'!C4,"")</f>
        <v>17.105395598308672</v>
      </c>
      <c r="E3" s="132">
        <f>IF('Кормовой бюджет'!E21&gt;0,'I-Gilts'!D4,"")</f>
        <v>24.008863512529558</v>
      </c>
      <c r="F3" s="132" t="str">
        <f>IF('Кормовой бюджет'!F21&gt;0,'I-Gilts'!E4,"")</f>
        <v/>
      </c>
      <c r="G3" s="132" t="str">
        <f>IF('Кормовой бюджет'!G21&gt;0,'I-Gilts'!F4,"")</f>
        <v/>
      </c>
      <c r="H3" s="132" t="str">
        <f>IF('Кормовой бюджет'!H21&gt;0,'I-Gilts'!G4,"")</f>
        <v/>
      </c>
      <c r="I3" s="132" t="str">
        <f>IF('Кормовой бюджет'!I21&gt;0,'I-Gilts'!H4,"")</f>
        <v/>
      </c>
      <c r="J3" s="132" t="str">
        <f>IF('Кормовой бюджет'!J21&gt;0,'I-Gilts'!I4,"")</f>
        <v/>
      </c>
    </row>
    <row r="4" spans="2:24" s="9" customFormat="1" x14ac:dyDescent="0.25">
      <c r="B4" s="5" t="s">
        <v>75</v>
      </c>
      <c r="C4" s="132">
        <f>IF('Кормовой бюджет'!C21&gt;0,VLOOKUP(C16,'Curve-Gilts'!$H$3:$J$185,1),"")</f>
        <v>17.105395598308672</v>
      </c>
      <c r="D4" s="132">
        <f>IF('Кормовой бюджет'!D21&gt;0,VLOOKUP(D16,'Curve-Gilts'!$H$3:$J$185,1),"")</f>
        <v>24.008863512529558</v>
      </c>
      <c r="E4" s="132">
        <f>IF('Кормовой бюджет'!E21&gt;0,VLOOKUP(E16,'Curve-Gilts'!$H$3:$J$185,1),"")</f>
        <v>54.104812549169871</v>
      </c>
      <c r="F4" s="132" t="str">
        <f>IF('Кормовой бюджет'!F21&gt;0,VLOOKUP(F16,'Curve-Gilts'!$H$3:$J$185,1),"")</f>
        <v/>
      </c>
      <c r="G4" s="132" t="str">
        <f>IF('Кормовой бюджет'!G21&gt;0,VLOOKUP(G16,'Curve-Gilts'!$H$3:$J$185,1),"")</f>
        <v/>
      </c>
      <c r="H4" s="13" t="str">
        <f>IF('Кормовой бюджет'!H21&gt;0,VLOOKUP(H16,'Curve-Gilts'!$H$3:$J$185,1),"")</f>
        <v/>
      </c>
      <c r="I4" s="13" t="str">
        <f>IF('Кормовой бюджет'!I21&gt;0,VLOOKUP(I16,'Curve-Gilts'!$H$3:$J$185,1),"")</f>
        <v/>
      </c>
      <c r="J4" s="13" t="str">
        <f>IF('Кормовой бюджет'!J21&gt;0,VLOOKUP(J16,'Curve-Gilts'!$H$3:$J$185,1),"")</f>
        <v/>
      </c>
    </row>
    <row r="5" spans="2:24" s="9" customFormat="1" x14ac:dyDescent="0.25">
      <c r="B5" s="5" t="s">
        <v>76</v>
      </c>
      <c r="C5" s="33">
        <f>IFERROR(IF('Кормовой бюджет'!D$21&gt;0,(C7-C6),(C7-C6+'Adj-Gilts'!$I$4))," ")</f>
        <v>9.1134381794783685</v>
      </c>
      <c r="D5" s="33">
        <f>IFERROR(IF('Кормовой бюджет'!E$21&gt;0,(D7-D6),(D7-D6+'Adj-Gilts'!$I$4))," ")</f>
        <v>14.371787260399213</v>
      </c>
      <c r="E5" s="33">
        <f>IFERROR(IF('Кормовой бюджет'!F$21&gt;0,(E7-E6),(E7-E6+'Adj-Gilts'!$I$4))," ")</f>
        <v>77.156431343212901</v>
      </c>
      <c r="F5" s="33" t="str">
        <f>IFERROR(IF('Кормовой бюджет'!G$21&gt;0,(F7-F6),(F7-F6+'Adj-Gilts'!$I$4))," ")</f>
        <v xml:space="preserve"> </v>
      </c>
      <c r="G5" s="33" t="str">
        <f>IFERROR(IF('Кормовой бюджет'!H$21&gt;0,(G7-G6),(G7-G6+'Adj-Gilts'!$I$4))," ")</f>
        <v xml:space="preserve"> </v>
      </c>
      <c r="H5" s="33" t="str">
        <f>IFERROR(IF('Кормовой бюджет'!I$21&gt;0,(H7-H6),(H7-H6+'Adj-Gilts'!$I$4))," ")</f>
        <v xml:space="preserve"> </v>
      </c>
      <c r="I5" s="33" t="str">
        <f>IFERROR(IF('Кормовой бюджет'!J$21&gt;0,(I7-I6),(I7-I6+'Adj-Gilts'!$I$4))," ")</f>
        <v xml:space="preserve"> </v>
      </c>
      <c r="J5" s="33" t="str">
        <f>IFERROR(IF('Кормовой бюджет'!K$21&gt;0,(J7-J6),(J7-J6+'Adj-Gilts'!$I$4))," ")</f>
        <v xml:space="preserve"> </v>
      </c>
    </row>
    <row r="6" spans="2:24" s="9" customFormat="1" x14ac:dyDescent="0.25">
      <c r="B6" s="5"/>
      <c r="C6" s="33">
        <v>0</v>
      </c>
      <c r="D6" s="33">
        <f>IF('Кормовой бюджет'!D$21&gt;0,VLOOKUP(D3,'Curve-Gilts'!$H$3:$K$185,4),"")</f>
        <v>9.1134381794783685</v>
      </c>
      <c r="E6" s="33">
        <f>IF('Кормовой бюджет'!E$21&gt;0,VLOOKUP(E3,'Curve-Gilts'!$H$3:$K$185,4),"")</f>
        <v>23.485225439877581</v>
      </c>
      <c r="F6" s="33" t="str">
        <f>IF('Кормовой бюджет'!F$21&gt;0,VLOOKUP(F3,'Curve-Gilts'!$H$3:$K$185,4),"")</f>
        <v/>
      </c>
      <c r="G6" s="33" t="str">
        <f>IF('Кормовой бюджет'!G$21&gt;0,VLOOKUP(G3,'Curve-Gilts'!$H$3:$K$185,4),"")</f>
        <v/>
      </c>
      <c r="H6" s="33" t="str">
        <f>IF('Кормовой бюджет'!H$21&gt;0,VLOOKUP(H3,'Curve-Gilts'!$H$3:$K$185,4),"")</f>
        <v/>
      </c>
      <c r="I6" s="33" t="str">
        <f>IF('Кормовой бюджет'!I$21&gt;0,VLOOKUP(I3,'Curve-Gilts'!$H$3:$K$185,4),"")</f>
        <v/>
      </c>
      <c r="J6" s="33" t="str">
        <f>IF('Кормовой бюджет'!J$21&gt;0,VLOOKUP(J3,'Curve-Gilts'!$H$3:$K$185,4),"")</f>
        <v/>
      </c>
    </row>
    <row r="7" spans="2:24" s="9" customFormat="1" x14ac:dyDescent="0.25">
      <c r="B7" s="5"/>
      <c r="C7" s="33">
        <f>IF('Кормовой бюджет'!C$21&gt;0,VLOOKUP(C4,'Curve-Gilts'!$H$3:$K$185,4),"")</f>
        <v>9.1134381794783685</v>
      </c>
      <c r="D7" s="33">
        <f>IF('Кормовой бюджет'!D$21&gt;0,VLOOKUP(D4,'Curve-Gilts'!$H$3:$K$185,4),"")</f>
        <v>23.485225439877581</v>
      </c>
      <c r="E7" s="33">
        <f>IF('Кормовой бюджет'!E$21&gt;0,VLOOKUP(E4,'Curve-Gilts'!$H$3:$K$185,4),"")</f>
        <v>100.64165678309048</v>
      </c>
      <c r="F7" s="33" t="str">
        <f>IF('Кормовой бюджет'!F$21&gt;0,VLOOKUP(F4,'Curve-Gilts'!$H$3:$K$185,4),"")</f>
        <v/>
      </c>
      <c r="G7" s="33" t="str">
        <f>IF('Кормовой бюджет'!G$21&gt;0,VLOOKUP(G4,'Curve-Gilts'!$H$3:$K$185,4),"")</f>
        <v/>
      </c>
      <c r="H7" s="33" t="str">
        <f>IF('Кормовой бюджет'!H$21&gt;0,VLOOKUP(H16,'Curve-Gilts'!$H$3:$K$185,4),"")</f>
        <v/>
      </c>
      <c r="I7" s="33" t="str">
        <f>IF('Кормовой бюджет'!I$21&gt;0,VLOOKUP(I16,'Curve-Gilts'!$H$3:$K$185,4),"")</f>
        <v/>
      </c>
      <c r="J7" s="33" t="str">
        <f>IF('Кормовой бюджет'!J$21&gt;0,VLOOKUP(J16,'Curve-Gilts'!$H$3:$K$185,4),"")</f>
        <v/>
      </c>
      <c r="M7" s="31"/>
    </row>
    <row r="8" spans="2:24" s="9" customFormat="1" x14ac:dyDescent="0.25">
      <c r="B8" s="5" t="s">
        <v>77</v>
      </c>
      <c r="C8" s="11">
        <f>IFERROR(IF('Кормовой бюджет'!C$21&gt;0,(C10-C9),(C10-C9+1)),"")</f>
        <v>14</v>
      </c>
      <c r="D8" s="11">
        <f>IFERROR(IF('Кормовой бюджет'!E$21&gt;0,(D10-D9),(D10-D9+1)),"")</f>
        <v>10</v>
      </c>
      <c r="E8" s="11">
        <f>IFERROR(IF('Кормовой бюджет'!F$21&gt;0,(E10-E9),(E10-E9+1)),"")</f>
        <v>30</v>
      </c>
      <c r="F8" s="11" t="str">
        <f>IFERROR(IF('Кормовой бюджет'!G$21&gt;0,(F10-F9),(F10-F9+1)),"")</f>
        <v/>
      </c>
      <c r="G8" s="11" t="str">
        <f>IFERROR(IF('Кормовой бюджет'!H$21&gt;0,(G10-G9),(G10-G9+1)),"")</f>
        <v/>
      </c>
      <c r="H8" s="11" t="str">
        <f>IFERROR(IF('Кормовой бюджет'!I$21&gt;0,(H10-H9),(H10-H9+1)),"")</f>
        <v/>
      </c>
      <c r="I8" s="11" t="str">
        <f>IFERROR(IF('Кормовой бюджет'!J$21&gt;0,(I10-I9),(I10-I9+1)),"")</f>
        <v/>
      </c>
      <c r="J8" s="11" t="str">
        <f>IFERROR(IF('Кормовой бюджет'!K$21&gt;0,(J10-J9),(J10-J9+1)),"")</f>
        <v/>
      </c>
      <c r="M8" s="31"/>
    </row>
    <row r="9" spans="2:24" s="9" customFormat="1" x14ac:dyDescent="0.25">
      <c r="B9" s="5"/>
      <c r="C9" s="11">
        <f>IF('Кормовой бюджет'!C21&gt;0,VLOOKUP(C3,'Curve-Gilts'!$H$3:$K$185,2),"")</f>
        <v>21</v>
      </c>
      <c r="D9" s="11">
        <f>IF('Кормовой бюджет'!D21&gt;0,VLOOKUP(D3*1.01,'Curve-Gilts'!$H$3:$K$185,2),"")</f>
        <v>35</v>
      </c>
      <c r="E9" s="11">
        <f>IF('Кормовой бюджет'!E21&gt;0,VLOOKUP(E3*1.01,'Curve-Gilts'!$H$3:$K$185,2),"")</f>
        <v>45</v>
      </c>
      <c r="F9" s="11" t="str">
        <f>IF('Кормовой бюджет'!F21&gt;0,VLOOKUP(F3*1.01,'Curve-Gilts'!$H$3:$K$185,2),"")</f>
        <v/>
      </c>
      <c r="G9" s="11" t="str">
        <f>IF('Кормовой бюджет'!G21&gt;0,VLOOKUP(G3*1.01,'Curve-Gilts'!$H$3:$K$185,2),"")</f>
        <v/>
      </c>
      <c r="H9" s="11" t="str">
        <f>IF('Кормовой бюджет'!H21&gt;0,VLOOKUP(H3*1.01,'Curve-Gilts'!$H$3:$K$185,2),"")</f>
        <v/>
      </c>
      <c r="I9" s="11" t="str">
        <f>IF('Кормовой бюджет'!I21&gt;0,VLOOKUP(I3*1.01,'Curve-Gilts'!$H$3:$K$185,2),"")</f>
        <v/>
      </c>
      <c r="J9" s="11" t="str">
        <f>IF('Кормовой бюджет'!J21&gt;0,VLOOKUP(J3*1.01,'Curve-Gilts'!$H$3:$K$185,2),"")</f>
        <v/>
      </c>
    </row>
    <row r="10" spans="2:24" s="9" customFormat="1" x14ac:dyDescent="0.25">
      <c r="B10" s="5"/>
      <c r="C10" s="11">
        <f>IF('Кормовой бюджет'!C21&gt;0,VLOOKUP(C4,'Curve-Gilts'!$H$3:$K$185,2),"")</f>
        <v>35</v>
      </c>
      <c r="D10" s="11">
        <f>IF('Кормовой бюджет'!D21&gt;0,VLOOKUP(D4,'Curve-Gilts'!$H$3:$K$185,2),"")</f>
        <v>45</v>
      </c>
      <c r="E10" s="11">
        <f>IF('Кормовой бюджет'!E21&gt;0,VLOOKUP(E4,'Curve-Gilts'!$H$3:$K$185,2),"")</f>
        <v>74</v>
      </c>
      <c r="F10" s="11" t="str">
        <f>IF('Кормовой бюджет'!F21&gt;0,VLOOKUP(F4,'Curve-Gilts'!$H$3:$K$185,2),"")</f>
        <v/>
      </c>
      <c r="G10" s="11" t="str">
        <f>IF('Кормовой бюджет'!G21&gt;0,VLOOKUP(G4,'Curve-Gilts'!$H$3:$K$185,2),"")</f>
        <v/>
      </c>
      <c r="H10" s="11" t="str">
        <f>IF('Кормовой бюджет'!H21&gt;0,VLOOKUP(H4,'Curve-Gilts'!$H$3:$K$185,2),"")</f>
        <v/>
      </c>
      <c r="I10" s="11" t="str">
        <f>IF('Кормовой бюджет'!I21&gt;0,VLOOKUP(I4,'Curve-Gilts'!$H$3:$K$185,2),"")</f>
        <v/>
      </c>
      <c r="J10" s="11" t="str">
        <f>IF('Кормовой бюджет'!J21&gt;0,VLOOKUP(J4,'Curve-Gilts'!$H$3:$K$185,2),"")</f>
        <v/>
      </c>
    </row>
    <row r="11" spans="2:24" s="9" customFormat="1" x14ac:dyDescent="0.25">
      <c r="B11" s="9" t="s">
        <v>78</v>
      </c>
      <c r="C11" s="132">
        <f>IF('Кормовой бюджет'!C21&gt;0,CONVERT(C15*1000,"g","lbm")," ")</f>
        <v>26.652954175495758</v>
      </c>
      <c r="D11" s="11">
        <f>IF('Кормовой бюджет'!D21&gt;0,CONVERT(D15*1000,"g","lbm")," ")</f>
        <v>38.565629153796515</v>
      </c>
      <c r="E11" s="11">
        <f>IF('Кормовой бюджет'!E21&gt;0,CONVERT(E15*1000,"g","lbm")," ")</f>
        <v>54.580098118589973</v>
      </c>
      <c r="F11" s="11" t="str">
        <f>IF('Кормовой бюджет'!F21&gt;0,CONVERT(F15*1000,"g","lbm")," ")</f>
        <v xml:space="preserve"> </v>
      </c>
      <c r="G11" s="11" t="str">
        <f>IF('Кормовой бюджет'!G21&gt;0,CONVERT(G15*1000,"g","lbm")," ")</f>
        <v xml:space="preserve"> </v>
      </c>
      <c r="H11" s="11" t="str">
        <f>IF('Кормовой бюджет'!H21&gt;0,CONVERT(H15*1000,"g","lbm")," ")</f>
        <v xml:space="preserve"> </v>
      </c>
      <c r="I11" s="11" t="str">
        <f>IF('Кормовой бюджет'!I21&gt;0,CONVERT(I15*1000,"g","lbm")," ")</f>
        <v xml:space="preserve"> </v>
      </c>
      <c r="J11" s="11" t="str">
        <f>IF('Кормовой бюджет'!J21&gt;0,CONVERT(J15*1000,"g","lbm")," ")</f>
        <v xml:space="preserve"> </v>
      </c>
    </row>
    <row r="12" spans="2:24" s="9" customFormat="1" x14ac:dyDescent="0.25">
      <c r="B12" s="9" t="s">
        <v>79</v>
      </c>
      <c r="C12" s="13">
        <f>IF('Кормовой бюджет'!C21&gt;0,CONVERT(C16*1000,"g","lbm")," ")</f>
        <v>38.565629153796515</v>
      </c>
      <c r="D12" s="11">
        <f>IF('Кормовой бюджет'!D21&gt;0,CONVERT(D16*1000,"g","lbm")," ")</f>
        <v>54.580098118589973</v>
      </c>
      <c r="E12" s="11">
        <f>IF('Кормовой бюджет'!E21&gt;0,CONVERT(E16*1000,"g","lbm")," ")</f>
        <v>119.28069369678742</v>
      </c>
      <c r="F12" s="11" t="str">
        <f>IF('Кормовой бюджет'!F21&gt;0,CONVERT(F16*1000,"g","lbm")," ")</f>
        <v xml:space="preserve"> </v>
      </c>
      <c r="G12" s="11" t="str">
        <f>IF('Кормовой бюджет'!G21&gt;0,CONVERT(G16*1000,"g","lbm")," ")</f>
        <v xml:space="preserve"> </v>
      </c>
      <c r="H12" s="11" t="str">
        <f>IF('Кормовой бюджет'!H21&gt;0,CONVERT(H16*1000,"g","lbm")," ")</f>
        <v xml:space="preserve"> </v>
      </c>
      <c r="I12" s="11" t="str">
        <f>IF('Кормовой бюджет'!I21&gt;0,CONVERT(I16*1000,"g","lbm")," ")</f>
        <v xml:space="preserve"> </v>
      </c>
      <c r="J12" s="11" t="str">
        <f>IF('Кормовой бюджет'!J21&gt;0,CONVERT(J16*1000,"g","lbm")," ")</f>
        <v xml:space="preserve"> </v>
      </c>
    </row>
    <row r="13" spans="2:24" s="9" customFormat="1" x14ac:dyDescent="0.25">
      <c r="C13" s="82">
        <f>IFERROR(IF(C11&gt;0,AVERAGE(C11:C12)," "),"")</f>
        <v>32.609291664646136</v>
      </c>
      <c r="D13" s="51">
        <f t="shared" ref="D13:J13" si="0">IFERROR(IF(D11&gt;0,AVERAGE(D11:D12)," "),"")</f>
        <v>46.572863636193247</v>
      </c>
      <c r="E13" s="51">
        <f t="shared" si="0"/>
        <v>86.930395907688705</v>
      </c>
      <c r="F13" s="51" t="str">
        <f t="shared" si="0"/>
        <v/>
      </c>
      <c r="G13" s="51" t="str">
        <f t="shared" si="0"/>
        <v/>
      </c>
      <c r="H13" s="51" t="str">
        <f t="shared" si="0"/>
        <v/>
      </c>
      <c r="I13" s="51" t="str">
        <f t="shared" si="0"/>
        <v/>
      </c>
      <c r="J13" s="51" t="str">
        <f t="shared" si="0"/>
        <v/>
      </c>
    </row>
    <row r="14" spans="2:24" s="9" customFormat="1" x14ac:dyDescent="0.25">
      <c r="C14" s="12"/>
      <c r="D14" s="12"/>
      <c r="E14" s="12"/>
      <c r="F14" s="12"/>
      <c r="G14" s="12"/>
      <c r="H14" s="10"/>
      <c r="W14" s="40"/>
      <c r="X14" s="40"/>
    </row>
    <row r="15" spans="2:24" s="9" customFormat="1" x14ac:dyDescent="0.25">
      <c r="B15" s="9" t="s">
        <v>74</v>
      </c>
      <c r="C15" s="130">
        <f>'Curve-Gilts'!H3</f>
        <v>12.089576651964517</v>
      </c>
      <c r="D15" s="130">
        <f>IF('Кормовой бюджет'!D23&gt;0,C16,"")</f>
        <v>17.493075128411657</v>
      </c>
      <c r="E15" s="130">
        <f>IF('Кормовой бюджет'!E23&gt;0,D16,"")</f>
        <v>24.757116060443767</v>
      </c>
      <c r="F15" s="130" t="str">
        <f>IF('Кормовой бюджет'!F23&gt;0,E16,"")</f>
        <v/>
      </c>
      <c r="G15" s="130" t="str">
        <f>IF('Кормовой бюджет'!G23&gt;0,F16,"")</f>
        <v/>
      </c>
      <c r="H15" s="118" t="str">
        <f>IF('Кормовой бюджет'!H23&gt;0,G16,"")</f>
        <v/>
      </c>
      <c r="I15" s="118" t="str">
        <f>IF('Кормовой бюджет'!I23&gt;0,H16,"")</f>
        <v/>
      </c>
      <c r="J15" s="118" t="str">
        <f>IF('Кормовой бюджет'!J23&gt;0,I16,"")</f>
        <v/>
      </c>
    </row>
    <row r="16" spans="2:24" s="9" customFormat="1" x14ac:dyDescent="0.25">
      <c r="B16" s="9" t="s">
        <v>75</v>
      </c>
      <c r="C16" s="130">
        <f>IF(IF('Кормовой бюджет'!D21&gt;0,(2*(CONVERT(C24,"lbm","kg"))-C15),MAX('I-Mixed'!C10:J10))&gt;0,IF('Кормовой бюджет'!D21&gt;0,(2*(CONVERT(C24,"lbm","kg"))-C15),MAX('Curve-Gilts'!$H$3:$H$185)),"")</f>
        <v>17.493075128411657</v>
      </c>
      <c r="D16" s="130">
        <f>IF(IF('Кормовой бюджет'!E21&gt;0,(2*(CONVERT(D24,"lbm","kg"))-D15),MAX('I-Mixed'!D10:K10))&gt;0,IF('Кормовой бюджет'!E21&gt;0,(2*(CONVERT(D24,"lbm","kg"))-D15),MAX('Curve-Gilts'!$H$3:$H$185)),"")</f>
        <v>24.757116060443767</v>
      </c>
      <c r="E16" s="130">
        <f>IF(IF('Кормовой бюджет'!F21&gt;0,(2*(CONVERT(E24,"lbm","kg"))-E15),MAX('I-Mixed'!E10:L10))&gt;0,IF('Кормовой бюджет'!F21&gt;0,(2*(CONVERT(E24,"lbm","kg"))-E15),MAX('Curve-Gilts'!$H$3:$H$185)),"")</f>
        <v>54.104812549169871</v>
      </c>
      <c r="F16" s="130" t="str">
        <f>IF(IF('Кормовой бюджет'!G21&gt;0,(2*(CONVERT(F24,"lbm","kg"))-F15),MAX('I-Mixed'!F10:M10))&gt;0,IF('Кормовой бюджет'!G21&gt;0,(2*(CONVERT(F24,"lbm","kg"))-F15),MAX('Curve-Gilts'!$H$3:$H$185)),"")</f>
        <v/>
      </c>
      <c r="G16" s="130" t="str">
        <f>IF(IF('Кормовой бюджет'!H21&gt;0,(2*(CONVERT(G24,"lbm","kg"))-G15),MAX('I-Mixed'!G10:N10))&gt;0,IF('Кормовой бюджет'!H21&gt;0,(2*(CONVERT(G24,"lbm","kg"))-G15),MAX('Curve-Gilts'!$H$3:$H$185)),"")</f>
        <v/>
      </c>
      <c r="H16" s="118" t="str">
        <f>IF(IF('Кормовой бюджет'!I21&gt;0,(2*(CONVERT(H24,"lbm","kg"))-H15),MAX('I-Mixed'!H10:O10))&gt;0,IF('Кормовой бюджет'!I21&gt;0,(2*(CONVERT(H24,"lbm","kg"))-H15),MAX('Curve-Gilts'!$H$3:$H$185)),"")</f>
        <v/>
      </c>
      <c r="I16" s="118" t="str">
        <f>IF(IF('Кормовой бюджет'!J21&gt;0,(2*(CONVERT(I24,"lbm","kg"))-I15),MAX('I-Mixed'!I10:P10))&gt;0,IF('Кормовой бюджет'!J21&gt;0,(2*(CONVERT(I24,"lbm","kg"))-I15),MAX('Curve-Gilts'!$H$3:$H$185)),"")</f>
        <v/>
      </c>
      <c r="J16" s="118" t="str">
        <f>IF(IF('Кормовой бюджет'!K21&gt;0,(2*(CONVERT(J24,"lbm","kg"))-J15),MAX('I-Mixed'!J10:Q10))&gt;0,IF('Кормовой бюджет'!K21&gt;0,(2*(CONVERT(J24,"lbm","kg"))-J15),MAX('Curve-Gilts'!$H$3:$H$185)),"")</f>
        <v/>
      </c>
    </row>
    <row r="17" spans="2:13" s="9" customFormat="1" x14ac:dyDescent="0.25"/>
    <row r="18" spans="2:13" s="9" customFormat="1" x14ac:dyDescent="0.25">
      <c r="B18" s="9" t="s">
        <v>85</v>
      </c>
      <c r="C18" s="49">
        <f>IF('Кормовой бюджет'!C21&gt;0,0.0000255654,"")</f>
        <v>2.5565400000000001E-5</v>
      </c>
      <c r="D18" s="49">
        <f>IF('Кормовой бюджет'!D21&gt;0,0.0000255654,"")</f>
        <v>2.5565400000000001E-5</v>
      </c>
      <c r="E18" s="49">
        <f>IF('Кормовой бюджет'!E21&gt;0,0.0000255654,"")</f>
        <v>2.5565400000000001E-5</v>
      </c>
      <c r="F18" s="49" t="str">
        <f>IF('Кормовой бюджет'!F21&gt;0,0.0000255654,"")</f>
        <v/>
      </c>
      <c r="G18" s="49" t="str">
        <f>IF('Кормовой бюджет'!G21&gt;0,0.0000255654,"")</f>
        <v/>
      </c>
      <c r="H18" s="49" t="str">
        <f>IF('Кормовой бюджет'!H21&gt;0,0.0000255654,"")</f>
        <v/>
      </c>
      <c r="I18" s="49" t="str">
        <f>IF('Кормовой бюджет'!I21&gt;0,0.0000255654,"")</f>
        <v/>
      </c>
      <c r="J18" s="49" t="str">
        <f>IF('Кормовой бюджет'!J21&gt;0,0.0000255654,"")</f>
        <v/>
      </c>
      <c r="M18" s="31"/>
    </row>
    <row r="19" spans="2:13" x14ac:dyDescent="0.25">
      <c r="B19" s="9" t="s">
        <v>86</v>
      </c>
      <c r="C19" s="49">
        <f>IF('Кормовой бюджет'!C21&gt;0,-0.0157978368,"")</f>
        <v>-1.5797836799999999E-2</v>
      </c>
      <c r="D19" s="49">
        <f>IF('Кормовой бюджет'!D21&gt;0,-0.0157978368,"")</f>
        <v>-1.5797836799999999E-2</v>
      </c>
      <c r="E19" s="49">
        <f>IF('Кормовой бюджет'!E21&gt;0,-0.0157978368,"")</f>
        <v>-1.5797836799999999E-2</v>
      </c>
      <c r="F19" s="49" t="str">
        <f>IF('Кормовой бюджет'!F21&gt;0,-0.0157978368,"")</f>
        <v/>
      </c>
      <c r="G19" s="49" t="str">
        <f>IF('Кормовой бюджет'!G21&gt;0,-0.0157978368,"")</f>
        <v/>
      </c>
      <c r="H19" s="49" t="str">
        <f>IF('Кормовой бюджет'!H21&gt;0,-0.0157978368,"")</f>
        <v/>
      </c>
      <c r="I19" s="49" t="str">
        <f>IF('Кормовой бюджет'!I21&gt;0,-0.0157978368,"")</f>
        <v/>
      </c>
      <c r="J19" s="49" t="str">
        <f>IF('Кормовой бюджет'!J21&gt;0,-0.0157978368,"")</f>
        <v/>
      </c>
    </row>
    <row r="20" spans="2:13" x14ac:dyDescent="0.25">
      <c r="B20" s="9" t="s">
        <v>87</v>
      </c>
      <c r="C20" s="49">
        <f>IF('Кормовой бюджет'!C21&gt;0,4.4555073859,"")</f>
        <v>4.4555073858999998</v>
      </c>
      <c r="D20" s="49">
        <f>IF('Кормовой бюджет'!D21&gt;0,4.4555073859,"")</f>
        <v>4.4555073858999998</v>
      </c>
      <c r="E20" s="49">
        <f>IF('Кормовой бюджет'!E21&gt;0,4.4555073859,"")</f>
        <v>4.4555073858999998</v>
      </c>
      <c r="F20" s="49" t="str">
        <f>IF('Кормовой бюджет'!F21&gt;0,4.4555073859,"")</f>
        <v/>
      </c>
      <c r="G20" s="49" t="str">
        <f>IF('Кормовой бюджет'!G21&gt;0,4.4555073859,"")</f>
        <v/>
      </c>
      <c r="H20" s="49" t="str">
        <f>IF('Кормовой бюджет'!H21&gt;0,4.4555073859,"")</f>
        <v/>
      </c>
      <c r="I20" s="49" t="str">
        <f>IF('Кормовой бюджет'!I21&gt;0,4.4555073859,"")</f>
        <v/>
      </c>
      <c r="J20" s="49" t="str">
        <f>IF('Кормовой бюджет'!J21&gt;0,4.4555073859,"")</f>
        <v/>
      </c>
    </row>
    <row r="21" spans="2:13" x14ac:dyDescent="0.25">
      <c r="B21" s="9" t="s">
        <v>88</v>
      </c>
      <c r="C21" s="52">
        <f>IF('Кормовой бюджет'!C21&gt;0,'I-Mixed'!C27," ")</f>
        <v>3.9675364926715515</v>
      </c>
      <c r="D21" s="52">
        <f>IF('Кормовой бюджет'!D21&gt;0,'I-Mixed'!D27," ")</f>
        <v>3.7752090480307121</v>
      </c>
      <c r="E21" s="52">
        <f>IF('Кормовой бюджет'!E21&gt;0,'I-Mixed'!E27," ")</f>
        <v>3.2728183744077457</v>
      </c>
      <c r="F21" s="52" t="str">
        <f>IF('Кормовой бюджет'!F21&gt;0,'I-Mixed'!F27," ")</f>
        <v xml:space="preserve"> </v>
      </c>
      <c r="G21" s="52" t="str">
        <f>IF('Кормовой бюджет'!G21&gt;0,'I-Mixed'!G27," ")</f>
        <v xml:space="preserve"> </v>
      </c>
      <c r="H21" s="52" t="str">
        <f>IF('Кормовой бюджет'!H21&gt;0,'I-Mixed'!H27," ")</f>
        <v xml:space="preserve"> </v>
      </c>
      <c r="I21" s="52" t="str">
        <f>IF('Кормовой бюджет'!I21&gt;0,'I-Mixed'!I27," ")</f>
        <v xml:space="preserve"> </v>
      </c>
      <c r="J21" s="52" t="str">
        <f>IF('Кормовой бюджет'!J21&gt;0,'I-Mixed'!J27," ")</f>
        <v xml:space="preserve"> </v>
      </c>
    </row>
    <row r="22" spans="2:13" x14ac:dyDescent="0.25">
      <c r="B22" s="9" t="s">
        <v>89</v>
      </c>
      <c r="C22" s="49">
        <f>IF('Кормовой бюджет'!C21&gt;0,SQRT((C19)^2-4*C18*(C20-C21))," ")</f>
        <v>1.4130497629753311E-2</v>
      </c>
      <c r="D22" s="49">
        <f>IF('Кормовой бюджет'!D21&gt;0,SQRT((D19)^2-4*D18*(D20-D21))," ")</f>
        <v>1.341652902399053E-2</v>
      </c>
      <c r="E22" s="49">
        <f>IF('Кормовой бюджет'!E21&gt;0,SQRT((E19)^2-4*E18*(E20-E21))," ")</f>
        <v>1.1341427464910134E-2</v>
      </c>
      <c r="F22" s="49" t="str">
        <f>IF('Кормовой бюджет'!F21&gt;0,SQRT((F19)^2-4*F18*(F20-F21))," ")</f>
        <v xml:space="preserve"> </v>
      </c>
      <c r="G22" s="49" t="str">
        <f>IF('Кормовой бюджет'!G21&gt;0,SQRT((G19)^2-4*G18*(G20-G21))," ")</f>
        <v xml:space="preserve"> </v>
      </c>
      <c r="H22" s="49" t="str">
        <f>IF('Кормовой бюджет'!H21&gt;0,SQRT((H19)^2-4*H18*(H20-H21))," ")</f>
        <v xml:space="preserve"> </v>
      </c>
      <c r="I22" s="49" t="str">
        <f>IF('Кормовой бюджет'!I21&gt;0,SQRT((I19)^2-4*I18*(I20-I21))," ")</f>
        <v xml:space="preserve"> </v>
      </c>
      <c r="J22" s="49" t="str">
        <f>IF('Кормовой бюджет'!J21&gt;0,SQRT((J19)^2-4*J18*(J20-J21))," ")</f>
        <v xml:space="preserve"> </v>
      </c>
    </row>
    <row r="23" spans="2:13" x14ac:dyDescent="0.25">
      <c r="B23" s="9" t="s">
        <v>90</v>
      </c>
      <c r="C23" s="49">
        <f>IF('Кормовой бюджет'!C21&gt;0,2*C18,"")</f>
        <v>5.1130800000000002E-5</v>
      </c>
      <c r="D23" s="49">
        <f>IF('Кормовой бюджет'!D21&gt;0,2*D18,"")</f>
        <v>5.1130800000000002E-5</v>
      </c>
      <c r="E23" s="49">
        <f>IF('Кормовой бюджет'!E21&gt;0,2*E18,"")</f>
        <v>5.1130800000000002E-5</v>
      </c>
      <c r="F23" s="49" t="str">
        <f>IF('Кормовой бюджет'!F21&gt;0,2*F18,"")</f>
        <v/>
      </c>
      <c r="G23" s="49" t="str">
        <f>IF('Кормовой бюджет'!G21&gt;0,2*G18,"")</f>
        <v/>
      </c>
      <c r="H23" s="49" t="str">
        <f>IF('Кормовой бюджет'!H21&gt;0,2*H18,"")</f>
        <v/>
      </c>
      <c r="I23" s="49" t="str">
        <f>IF('Кормовой бюджет'!I21&gt;0,2*I18,"")</f>
        <v/>
      </c>
      <c r="J23" s="49" t="str">
        <f>IF('Кормовой бюджет'!J21&gt;0,2*J18,"")</f>
        <v/>
      </c>
    </row>
    <row r="24" spans="2:13" x14ac:dyDescent="0.25">
      <c r="B24" s="9"/>
      <c r="C24" s="52">
        <f>IFERROR((-C19-C22)/C23," ")</f>
        <v>32.609291664646136</v>
      </c>
      <c r="D24" s="50">
        <f t="shared" ref="D24:J24" si="1">IFERROR((-D19-D22)/D23," ")</f>
        <v>46.57286363619324</v>
      </c>
      <c r="E24" s="50">
        <f t="shared" si="1"/>
        <v>87.157043016926494</v>
      </c>
      <c r="F24" s="50" t="str">
        <f t="shared" si="1"/>
        <v xml:space="preserve"> </v>
      </c>
      <c r="G24" s="50" t="str">
        <f t="shared" si="1"/>
        <v xml:space="preserve"> </v>
      </c>
      <c r="H24" s="50" t="str">
        <f t="shared" si="1"/>
        <v xml:space="preserve"> </v>
      </c>
      <c r="I24" s="50" t="str">
        <f t="shared" si="1"/>
        <v xml:space="preserve"> </v>
      </c>
      <c r="J24" s="50" t="str">
        <f t="shared" si="1"/>
        <v xml:space="preserve"> </v>
      </c>
    </row>
    <row r="27" spans="2:13" x14ac:dyDescent="0.25">
      <c r="D27" t="s">
        <v>91</v>
      </c>
      <c r="E27" s="144" t="s">
        <v>92</v>
      </c>
      <c r="F27" s="145" t="s">
        <v>93</v>
      </c>
    </row>
    <row r="28" spans="2:13" x14ac:dyDescent="0.25">
      <c r="F28">
        <v>2</v>
      </c>
    </row>
    <row r="29" spans="2:13" x14ac:dyDescent="0.25">
      <c r="D29">
        <f>13.998</f>
        <v>13.997999999999999</v>
      </c>
      <c r="F29">
        <v>5.9539999999999997</v>
      </c>
    </row>
    <row r="30" spans="2:13" x14ac:dyDescent="0.25">
      <c r="C30" s="216"/>
    </row>
  </sheetData>
  <dataValidations count="1">
    <dataValidation errorStyle="warning" allowBlank="1" showInputMessage="1" showErrorMessage="1" error="This calculator is based on data between 11 and 150 kg. It is not recommended to use for body weight outside of this range." sqref="C3:J10" xr:uid="{2E563B17-CBD6-45E6-9E31-FE784F77F710}"/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66823-94B3-4FA9-9276-D2CB042067EB}">
  <sheetPr codeName="Sheet9"/>
  <dimension ref="A1:M41"/>
  <sheetViews>
    <sheetView showGridLines="0" topLeftCell="A16" zoomScaleNormal="100" workbookViewId="0">
      <selection activeCell="C38" sqref="C38"/>
    </sheetView>
  </sheetViews>
  <sheetFormatPr defaultColWidth="8.85546875" defaultRowHeight="15" x14ac:dyDescent="0.25"/>
  <cols>
    <col min="1" max="1" width="33.7109375" bestFit="1" customWidth="1"/>
    <col min="2" max="2" width="9.42578125" bestFit="1" customWidth="1"/>
    <col min="3" max="3" width="11.140625" customWidth="1"/>
    <col min="4" max="4" width="12" bestFit="1" customWidth="1"/>
    <col min="6" max="6" width="31.42578125" bestFit="1" customWidth="1"/>
    <col min="10" max="10" width="12.140625" bestFit="1" customWidth="1"/>
  </cols>
  <sheetData>
    <row r="1" spans="1:13" x14ac:dyDescent="0.25">
      <c r="A1" s="18" t="s">
        <v>77</v>
      </c>
      <c r="B1" s="25">
        <f>(MAX('I-Mixed'!C10:J10)-MIN('I-Mixed'!C9:J9))/('I-Mixed'!C3/1000)</f>
        <v>53.75</v>
      </c>
    </row>
    <row r="2" spans="1:13" x14ac:dyDescent="0.25">
      <c r="A2" t="s">
        <v>94</v>
      </c>
      <c r="B2" s="25">
        <f>'I-Mixed'!C5</f>
        <v>21</v>
      </c>
    </row>
    <row r="3" spans="1:13" x14ac:dyDescent="0.25">
      <c r="B3" s="217"/>
    </row>
    <row r="4" spans="1:13" x14ac:dyDescent="0.25">
      <c r="H4" t="s">
        <v>95</v>
      </c>
      <c r="I4" s="2">
        <f>(((MAX('I-Mixed'!C10:J10))-MIN('I-Mixed'!C9:J9))*'I-Mixed'!C4)-B9</f>
        <v>1.4400000000000261</v>
      </c>
      <c r="J4" t="s">
        <v>96</v>
      </c>
      <c r="K4" s="2">
        <f>(MAX('I-Mixed'!C10:J10)-AVERAGE(MAX('Curve-Gilts'!H3:H185),MAX('Curve-Barrows'!H3:H185)))/2</f>
        <v>0.29983407242436044</v>
      </c>
      <c r="L4" t="s">
        <v>97</v>
      </c>
    </row>
    <row r="5" spans="1:13" x14ac:dyDescent="0.25">
      <c r="A5" s="251" t="s">
        <v>98</v>
      </c>
      <c r="B5" s="251"/>
      <c r="C5" s="217" t="s">
        <v>99</v>
      </c>
      <c r="D5" s="251">
        <f>'E-Mixed'!A1</f>
        <v>337</v>
      </c>
      <c r="E5" s="251"/>
      <c r="I5" s="1"/>
    </row>
    <row r="6" spans="1:13" x14ac:dyDescent="0.25">
      <c r="A6" s="119" t="s">
        <v>100</v>
      </c>
      <c r="B6" s="25">
        <f>(MAX('Curve-Mixed'!H3:H185)-MIN('Curve-Mixed'!H3:H185))/(MAX('Curve-Mixed'!I3:I185)-MIN('Curve-Mixed'!I3:I185))*1000</f>
        <v>799.99999999999989</v>
      </c>
      <c r="C6" s="122">
        <f>'I-Mixed'!C3/E6</f>
        <v>1.5716853530071015</v>
      </c>
      <c r="D6" s="119" t="s">
        <v>100</v>
      </c>
      <c r="E6" s="25">
        <f>(MAX('Curve-Mixed'!A3:A185)-MIN('Curve-Mixed'!A3:A185))/(MAX('Curve-Mixed'!B3:B185)-MIN('Curve-Mixed'!B3:B185))*1000</f>
        <v>509.00773393946952</v>
      </c>
      <c r="H6" t="s">
        <v>12</v>
      </c>
      <c r="I6" s="3">
        <f>SUM('Кормовой бюджет'!C35:J35)</f>
        <v>54</v>
      </c>
      <c r="K6" s="2"/>
      <c r="L6" s="2"/>
      <c r="M6" s="2"/>
    </row>
    <row r="7" spans="1:13" x14ac:dyDescent="0.25">
      <c r="A7" s="120" t="s">
        <v>101</v>
      </c>
      <c r="B7" s="26">
        <f>1/(MAX('Curve-Mixed'!K3:K185)/(MAX('Curve-Mixed'!H3:H185)-MIN('Curve-Mixed'!H3:H185)))</f>
        <v>0.41666666666666674</v>
      </c>
      <c r="C7" s="122">
        <f>(1/'I-Mixed'!C4)/E7</f>
        <v>0.62690210535924462</v>
      </c>
      <c r="D7" s="120" t="s">
        <v>101</v>
      </c>
      <c r="E7" s="26">
        <f>1/(MAX('Curve-Mixed'!D3:D185)/(MAX('Curve-Mixed'!A3:A185)-MIN('Curve-Mixed'!A3:A185)))</f>
        <v>0.66464391027670411</v>
      </c>
      <c r="H7" s="4" t="s">
        <v>13</v>
      </c>
      <c r="I7" s="3">
        <f>SUM('I-Barrows'!C8:J8)</f>
        <v>54</v>
      </c>
      <c r="J7" s="4">
        <f>I6-I7</f>
        <v>0</v>
      </c>
      <c r="L7" s="2"/>
    </row>
    <row r="8" spans="1:13" x14ac:dyDescent="0.25">
      <c r="A8" s="120" t="s">
        <v>4</v>
      </c>
      <c r="B8" s="26">
        <f>1/B7</f>
        <v>2.3999999999999995</v>
      </c>
      <c r="C8" s="122">
        <f>'I-Mixed'!C4/E8</f>
        <v>1.5951453846640897</v>
      </c>
      <c r="D8" s="120" t="s">
        <v>4</v>
      </c>
      <c r="E8" s="26">
        <f>1/E7</f>
        <v>1.504565052862187</v>
      </c>
      <c r="H8" s="4" t="s">
        <v>14</v>
      </c>
      <c r="I8" s="3">
        <f>SUM('I-Gilts'!C8:J8)</f>
        <v>54</v>
      </c>
      <c r="J8" s="4">
        <f>I6-I8</f>
        <v>0</v>
      </c>
    </row>
    <row r="9" spans="1:13" x14ac:dyDescent="0.25">
      <c r="A9" s="120" t="s">
        <v>102</v>
      </c>
      <c r="B9" s="24">
        <f>MAX('Curve-Mixed'!K3:K185)</f>
        <v>101.75999999999998</v>
      </c>
      <c r="C9" s="120"/>
      <c r="D9" s="120" t="s">
        <v>102</v>
      </c>
      <c r="E9" s="24">
        <f>MAX('Curve-Mixed'!D3:D185)</f>
        <v>40.589268150460704</v>
      </c>
      <c r="J9" s="4"/>
    </row>
    <row r="10" spans="1:13" x14ac:dyDescent="0.25">
      <c r="A10" s="120" t="s">
        <v>103</v>
      </c>
      <c r="B10" s="121">
        <f>B1+B2</f>
        <v>74.75</v>
      </c>
      <c r="C10" s="120"/>
      <c r="D10" s="120" t="s">
        <v>103</v>
      </c>
      <c r="E10" s="25">
        <f>MAX('Curve-Mixed'!B3:B185)</f>
        <v>74</v>
      </c>
    </row>
    <row r="11" spans="1:13" x14ac:dyDescent="0.25">
      <c r="F11" s="4"/>
      <c r="J11" s="2"/>
    </row>
    <row r="12" spans="1:13" x14ac:dyDescent="0.25">
      <c r="F12" s="1"/>
      <c r="J12" s="4"/>
    </row>
    <row r="13" spans="1:13" x14ac:dyDescent="0.25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  <c r="H13">
        <v>7</v>
      </c>
      <c r="I13">
        <v>8</v>
      </c>
      <c r="J13" s="4"/>
    </row>
    <row r="14" spans="1:13" x14ac:dyDescent="0.25">
      <c r="A14" t="s">
        <v>73</v>
      </c>
      <c r="B14" s="59">
        <f>IF('Кормовой бюджет'!C21&gt;0,IF('Кормовой бюджет'!$C$4='Кормовой бюджет'!$O$20,'Кормовой бюджет'!C21*2.204622,'Кормовой бюджет'!C21),"")</f>
        <v>3200</v>
      </c>
      <c r="C14" s="59">
        <f>IF('Кормовой бюджет'!D21&gt;0,IF('Кормовой бюджет'!$C$4='Кормовой бюджет'!$O$20,'Кормовой бюджет'!D21*2.204622,'Кормовой бюджет'!D21),"")</f>
        <v>3200</v>
      </c>
      <c r="D14" s="59">
        <f>IF('Кормовой бюджет'!E21&gt;0,IF('Кормовой бюджет'!$C$4='Кормовой бюджет'!$O$20,'Кормовой бюджет'!E21*2.204622,'Кормовой бюджет'!E21),"")</f>
        <v>3200</v>
      </c>
      <c r="E14" s="59" t="str">
        <f>IF('Кормовой бюджет'!F21&gt;0,IF('Кормовой бюджет'!$C$4='Кормовой бюджет'!$O$20,'Кормовой бюджет'!F21*2.204622,'Кормовой бюджет'!F21),"")</f>
        <v/>
      </c>
      <c r="F14" s="59" t="str">
        <f>IF('Кормовой бюджет'!G21&gt;0,IF('Кормовой бюджет'!$C$4='Кормовой бюджет'!$O$20,'Кормовой бюджет'!G21*2.204622,'Кормовой бюджет'!G21),"")</f>
        <v/>
      </c>
      <c r="G14" s="59" t="str">
        <f>IF('Кормовой бюджет'!H21&gt;0,IF('Кормовой бюджет'!$C$4='Кормовой бюджет'!$O$20,'Кормовой бюджет'!H21*2.204622,'Кормовой бюджет'!H21),"")</f>
        <v/>
      </c>
      <c r="H14" s="59" t="str">
        <f>IF('Кормовой бюджет'!I21&gt;0,IF('Кормовой бюджет'!$C$4='Кормовой бюджет'!$O$20,'Кормовой бюджет'!I21*2.204622,'Кормовой бюджет'!I21),"")</f>
        <v/>
      </c>
      <c r="I14" s="59" t="str">
        <f>IF('Кормовой бюджет'!J21&gt;0,IF('Кормовой бюджет'!$C$4='Кормовой бюджет'!$O$20,'Кормовой бюджет'!J21*2.204622,'Кормовой бюджет'!J21),"")</f>
        <v/>
      </c>
      <c r="J14" s="4"/>
    </row>
    <row r="15" spans="1:13" x14ac:dyDescent="0.25">
      <c r="A15" t="s">
        <v>104</v>
      </c>
      <c r="B15" s="59">
        <f>IFERROR(AVERAGE('Кормовой бюджет'!C23:C24)/2.204622,"")</f>
        <v>6.80388746914437</v>
      </c>
      <c r="C15" s="59">
        <f>IFERROR(AVERAGE('Кормовой бюджет'!D23:D24)/2.204622,"")</f>
        <v>9.752238705773598</v>
      </c>
      <c r="D15" s="59">
        <f>IFERROR(AVERAGE('Кормовой бюджет'!E23:E24)/2.204622,"")</f>
        <v>18.143699917718319</v>
      </c>
      <c r="E15" s="59" t="str">
        <f>IFERROR(AVERAGE('Кормовой бюджет'!F23:F24)/2.204622,"")</f>
        <v/>
      </c>
      <c r="F15" s="59" t="str">
        <f>IFERROR(AVERAGE('Кормовой бюджет'!G23:G24)/2.204622,"")</f>
        <v/>
      </c>
      <c r="G15" s="59" t="str">
        <f>IFERROR(AVERAGE('Кормовой бюджет'!H23:H24)/2.204622,"")</f>
        <v/>
      </c>
      <c r="H15" s="59" t="str">
        <f>IFERROR(AVERAGE('Кормовой бюджет'!I23:I24)/2.204622,"")</f>
        <v/>
      </c>
      <c r="I15" s="59" t="str">
        <f>IFERROR(AVERAGE('Кормовой бюджет'!J23:J24)/2.204622,"")</f>
        <v/>
      </c>
      <c r="J15" s="4"/>
    </row>
    <row r="16" spans="1:13" x14ac:dyDescent="0.25">
      <c r="A16" t="s">
        <v>105</v>
      </c>
      <c r="B16" s="68">
        <f>(SUMPRODUCT(B14:I14,B15:I15)/SUM(B15:I15))</f>
        <v>3200</v>
      </c>
      <c r="C16" t="s">
        <v>106</v>
      </c>
      <c r="F16" s="1"/>
      <c r="J16" s="4"/>
    </row>
    <row r="17" spans="1:10" x14ac:dyDescent="0.25">
      <c r="A17" s="23" t="str">
        <f>IF(B16&lt;B19,A19,IF(B16&gt;B21,A21,A20))</f>
        <v>Low energy diet</v>
      </c>
    </row>
    <row r="18" spans="1:10" x14ac:dyDescent="0.25">
      <c r="B18" s="252" t="s">
        <v>107</v>
      </c>
      <c r="C18" s="252"/>
      <c r="D18" s="252"/>
      <c r="E18" s="252"/>
      <c r="G18" s="252" t="s">
        <v>108</v>
      </c>
      <c r="H18" s="252"/>
      <c r="I18" s="252"/>
      <c r="J18" s="252"/>
    </row>
    <row r="19" spans="1:10" x14ac:dyDescent="0.25">
      <c r="A19" t="s">
        <v>109</v>
      </c>
      <c r="B19" s="217">
        <v>3218</v>
      </c>
      <c r="C19" t="s">
        <v>106</v>
      </c>
      <c r="D19" s="25">
        <f>B19/2.204622</f>
        <v>1459.6606583804389</v>
      </c>
      <c r="E19" t="s">
        <v>110</v>
      </c>
      <c r="G19" s="25">
        <f>B19*0.73</f>
        <v>2349.14</v>
      </c>
      <c r="H19" t="s">
        <v>106</v>
      </c>
      <c r="I19" s="25">
        <f>G19/2.204622</f>
        <v>1065.5522806177203</v>
      </c>
      <c r="J19" t="s">
        <v>110</v>
      </c>
    </row>
    <row r="20" spans="1:10" x14ac:dyDescent="0.25">
      <c r="A20" t="s">
        <v>111</v>
      </c>
      <c r="B20" s="217">
        <f>AVERAGE(B19,B21)</f>
        <v>3284</v>
      </c>
      <c r="C20" t="s">
        <v>106</v>
      </c>
      <c r="D20" s="25">
        <f t="shared" ref="D20:D21" si="0">B20/2.204622</f>
        <v>1489.5977632446741</v>
      </c>
      <c r="E20" t="s">
        <v>110</v>
      </c>
      <c r="G20" s="25">
        <f>AVERAGE(G19,G21)</f>
        <v>2481.0699999999997</v>
      </c>
      <c r="H20" t="s">
        <v>106</v>
      </c>
      <c r="I20" s="25">
        <f t="shared" ref="I20:I21" si="1">G20/2.204622</f>
        <v>1125.3947388713348</v>
      </c>
      <c r="J20" t="s">
        <v>110</v>
      </c>
    </row>
    <row r="21" spans="1:10" x14ac:dyDescent="0.25">
      <c r="A21" t="s">
        <v>112</v>
      </c>
      <c r="B21" s="217">
        <v>3350</v>
      </c>
      <c r="C21" t="s">
        <v>106</v>
      </c>
      <c r="D21" s="25">
        <f t="shared" si="0"/>
        <v>1519.5348681089092</v>
      </c>
      <c r="E21" t="s">
        <v>110</v>
      </c>
      <c r="G21" s="217">
        <f>B21*0.78</f>
        <v>2613</v>
      </c>
      <c r="H21" t="s">
        <v>106</v>
      </c>
      <c r="I21" s="25">
        <f t="shared" si="1"/>
        <v>1185.2371971249493</v>
      </c>
      <c r="J21" t="s">
        <v>110</v>
      </c>
    </row>
    <row r="24" spans="1:10" x14ac:dyDescent="0.25">
      <c r="A24" t="s">
        <v>26</v>
      </c>
    </row>
    <row r="25" spans="1:10" x14ac:dyDescent="0.25">
      <c r="A25" t="s">
        <v>113</v>
      </c>
    </row>
    <row r="26" spans="1:10" x14ac:dyDescent="0.25">
      <c r="A26" s="185"/>
      <c r="B26" s="186"/>
      <c r="C26" s="184"/>
      <c r="D26" s="184"/>
      <c r="F26" s="253"/>
      <c r="G26" s="253"/>
      <c r="H26" s="253"/>
      <c r="I26" s="253"/>
    </row>
    <row r="27" spans="1:10" x14ac:dyDescent="0.25">
      <c r="A27" t="s">
        <v>114</v>
      </c>
      <c r="B27" s="218" t="str">
        <f>'Кормовой бюджет'!C6</f>
        <v>Carcass</v>
      </c>
      <c r="G27" s="216"/>
    </row>
    <row r="28" spans="1:10" x14ac:dyDescent="0.25">
      <c r="B28" s="217" t="s">
        <v>12</v>
      </c>
      <c r="C28" s="217" t="s">
        <v>13</v>
      </c>
      <c r="D28" s="217" t="s">
        <v>14</v>
      </c>
      <c r="G28" s="217"/>
      <c r="H28" s="217"/>
      <c r="I28" s="217"/>
    </row>
    <row r="29" spans="1:10" x14ac:dyDescent="0.25">
      <c r="A29" t="s">
        <v>115</v>
      </c>
      <c r="B29" s="59">
        <f>MAX('Кормовой бюджет'!C24:J24)</f>
        <v>55</v>
      </c>
      <c r="C29" s="59">
        <f>MAX('Кормовой бюджет'!D38:Q38)</f>
        <v>54.995685233557055</v>
      </c>
      <c r="D29" s="59">
        <f>MAX('Кормовой бюджет'!E43:R43)</f>
        <v>54.404646621594232</v>
      </c>
      <c r="G29" s="59"/>
      <c r="H29" s="59"/>
      <c r="I29" s="59"/>
    </row>
    <row r="30" spans="1:10" x14ac:dyDescent="0.25">
      <c r="A30" t="s">
        <v>116</v>
      </c>
      <c r="B30" s="28">
        <f>B29*'Кормовой бюджет'!$C$9/100</f>
        <v>41.25</v>
      </c>
      <c r="C30" s="28">
        <f>C29*'Кормовой бюджет'!$C$9/100</f>
        <v>41.246763925167791</v>
      </c>
      <c r="D30" s="28">
        <f>D29*'Кормовой бюджет'!$C$9/100</f>
        <v>40.803484966195676</v>
      </c>
      <c r="G30" s="28"/>
      <c r="H30" s="28"/>
      <c r="I30" s="28"/>
    </row>
    <row r="31" spans="1:10" x14ac:dyDescent="0.25">
      <c r="A31" t="s">
        <v>117</v>
      </c>
      <c r="B31" s="77">
        <f>(SUMPRODUCT('Кормовой бюджет'!$C$22:$J$22,'Кормовой бюджет'!C34:J34)/SUM('Кормовой бюджет'!C34:J34)/2000)*SUM('Кормовой бюджет'!C34:J34)</f>
        <v>0</v>
      </c>
      <c r="C31" s="77">
        <f>(SUMPRODUCT('Кормовой бюджет'!$C$22:$J$22,'Кормовой бюджет'!C39:J39)/SUM('Кормовой бюджет'!C39:J39)/2000)*SUM('Кормовой бюджет'!C39:J39)</f>
        <v>0</v>
      </c>
      <c r="D31" s="77">
        <f>(SUMPRODUCT('Кормовой бюджет'!$C$22:$J$22,'Кормовой бюджет'!C44:J44)/SUM('Кормовой бюджет'!C44:J44)/2000)*SUM('Кормовой бюджет'!C44:J44)</f>
        <v>0</v>
      </c>
      <c r="G31" s="77"/>
      <c r="H31" s="77"/>
      <c r="I31" s="77"/>
    </row>
    <row r="32" spans="1:10" x14ac:dyDescent="0.25">
      <c r="A32" t="s">
        <v>118</v>
      </c>
      <c r="B32" s="146">
        <f>'Кормовой бюджет'!$C$7*SUM('Кормовой бюджет'!$C$35:$J$35)</f>
        <v>6.4799999999999995</v>
      </c>
      <c r="C32" s="146">
        <f>'Кормовой бюджет'!$C$7*SUM('Кормовой бюджет'!$C$40:$J$40)</f>
        <v>6.4799999999999995</v>
      </c>
      <c r="D32" s="146">
        <f>'Кормовой бюджет'!$C$7*SUM('Кормовой бюджет'!$C$45:$J$45)</f>
        <v>6.4799999999999995</v>
      </c>
      <c r="G32" s="146"/>
      <c r="H32" s="147"/>
      <c r="I32" s="147"/>
    </row>
    <row r="33" spans="1:9" x14ac:dyDescent="0.25">
      <c r="A33" t="s">
        <v>119</v>
      </c>
      <c r="B33" s="146">
        <f>SUM(B31:B32)</f>
        <v>6.4799999999999995</v>
      </c>
      <c r="C33" s="146">
        <f t="shared" ref="C33:D33" si="2">SUM(C31:C32)</f>
        <v>6.4799999999999995</v>
      </c>
      <c r="D33" s="146">
        <f t="shared" si="2"/>
        <v>6.4799999999999995</v>
      </c>
      <c r="G33" s="146"/>
      <c r="H33" s="146"/>
      <c r="I33" s="146"/>
    </row>
    <row r="34" spans="1:9" x14ac:dyDescent="0.25">
      <c r="A34" t="s">
        <v>120</v>
      </c>
      <c r="B34" s="77">
        <f>IF($B$27="Live",B29*'Кормовой бюджет'!$C$8,B30*'Кормовой бюджет'!$C$8)</f>
        <v>23.1</v>
      </c>
      <c r="C34" s="77">
        <f>IF($B$27="Live",C29*'Кормовой бюджет'!$C$8,C30*'Кормовой бюджет'!$C$8)</f>
        <v>23.098187798093964</v>
      </c>
      <c r="D34" s="77">
        <f>IF($B$27="Live",D29*'Кормовой бюджет'!$C$8,D30*'Кормовой бюджет'!$C$8)</f>
        <v>22.849951581069579</v>
      </c>
      <c r="G34" s="77"/>
      <c r="H34" s="77"/>
      <c r="I34" s="77"/>
    </row>
    <row r="35" spans="1:9" x14ac:dyDescent="0.25">
      <c r="A35" t="s">
        <v>33</v>
      </c>
      <c r="B35" s="77">
        <f>B34-B31</f>
        <v>23.1</v>
      </c>
      <c r="C35" s="77">
        <f t="shared" ref="C35:D35" si="3">C34-C31</f>
        <v>23.098187798093964</v>
      </c>
      <c r="D35" s="77">
        <f t="shared" si="3"/>
        <v>22.849951581069579</v>
      </c>
      <c r="G35" s="77"/>
      <c r="H35" s="77"/>
      <c r="I35" s="77"/>
    </row>
    <row r="36" spans="1:9" x14ac:dyDescent="0.25">
      <c r="A36" t="s">
        <v>34</v>
      </c>
      <c r="B36" s="146">
        <f>B34-B33</f>
        <v>16.62</v>
      </c>
      <c r="C36" s="146">
        <f t="shared" ref="C36:D36" si="4">C34-C33</f>
        <v>16.618187798093963</v>
      </c>
      <c r="D36" s="146">
        <f t="shared" si="4"/>
        <v>16.369951581069579</v>
      </c>
      <c r="G36" s="147"/>
      <c r="H36" s="147"/>
      <c r="I36" s="147"/>
    </row>
    <row r="38" spans="1:9" x14ac:dyDescent="0.25">
      <c r="D38" s="147"/>
    </row>
    <row r="39" spans="1:9" x14ac:dyDescent="0.25">
      <c r="D39" s="147"/>
    </row>
    <row r="40" spans="1:9" x14ac:dyDescent="0.25">
      <c r="D40" s="147"/>
    </row>
    <row r="41" spans="1:9" x14ac:dyDescent="0.25">
      <c r="D41" s="147"/>
    </row>
  </sheetData>
  <mergeCells count="5">
    <mergeCell ref="A5:B5"/>
    <mergeCell ref="D5:E5"/>
    <mergeCell ref="B18:E18"/>
    <mergeCell ref="G18:J18"/>
    <mergeCell ref="F26:I26"/>
  </mergeCells>
  <conditionalFormatting sqref="A17">
    <cfRule type="cellIs" dxfId="2" priority="1" operator="equal">
      <formula>$A$19</formula>
    </cfRule>
    <cfRule type="cellIs" dxfId="1" priority="2" operator="equal">
      <formula>$A$21</formula>
    </cfRule>
    <cfRule type="cellIs" dxfId="0" priority="3" operator="equal">
      <formula>$A$20</formula>
    </cfRule>
  </conditionalFormatting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1E2DE-F2A6-4D78-B974-72FBD0D2EBDE}">
  <sheetPr codeName="Sheet10"/>
  <dimension ref="A1:J16"/>
  <sheetViews>
    <sheetView showGridLines="0" workbookViewId="0">
      <selection activeCell="B6" sqref="B6"/>
    </sheetView>
  </sheetViews>
  <sheetFormatPr defaultColWidth="8.85546875" defaultRowHeight="15" x14ac:dyDescent="0.25"/>
  <cols>
    <col min="1" max="1" width="13.42578125" bestFit="1" customWidth="1"/>
    <col min="2" max="2" width="9.42578125" bestFit="1" customWidth="1"/>
    <col min="4" max="4" width="14.140625" customWidth="1"/>
    <col min="7" max="7" width="14.7109375" bestFit="1" customWidth="1"/>
  </cols>
  <sheetData>
    <row r="1" spans="1:10" x14ac:dyDescent="0.25">
      <c r="A1" s="18" t="s">
        <v>77</v>
      </c>
      <c r="B1" s="4">
        <f>'Adj-Mixed'!B1</f>
        <v>53.75</v>
      </c>
    </row>
    <row r="2" spans="1:10" x14ac:dyDescent="0.25">
      <c r="A2" t="s">
        <v>94</v>
      </c>
      <c r="B2" s="4">
        <f>'I-Mixed'!C5</f>
        <v>21</v>
      </c>
    </row>
    <row r="4" spans="1:10" x14ac:dyDescent="0.25">
      <c r="I4" s="2"/>
    </row>
    <row r="5" spans="1:10" x14ac:dyDescent="0.25">
      <c r="A5" s="251" t="s">
        <v>98</v>
      </c>
      <c r="B5" s="251"/>
      <c r="C5" s="217" t="s">
        <v>99</v>
      </c>
      <c r="D5" s="251">
        <f>'E-Barrows'!A1</f>
        <v>337</v>
      </c>
      <c r="E5" s="251"/>
      <c r="G5" s="94" t="s">
        <v>121</v>
      </c>
      <c r="I5" s="1"/>
    </row>
    <row r="6" spans="1:10" x14ac:dyDescent="0.25">
      <c r="A6" s="119" t="s">
        <v>100</v>
      </c>
      <c r="B6" s="25">
        <f>((MAX('Curve-Barrows'!H3:H185)-MIN('Curve-Barrows'!H3:H185))/(MAX('Curve-Barrows'!I3:I185)-MIN('Curve-Barrows'!I3:I185))*1000)</f>
        <v>807.25970005272984</v>
      </c>
      <c r="C6" s="123">
        <f>'I-Mixed'!C3*'Adj-Barrows'!G6/E6</f>
        <v>1.5716853530071018</v>
      </c>
      <c r="D6" s="119" t="s">
        <v>100</v>
      </c>
      <c r="E6" s="25">
        <f>(MAX('Curve-Barrows'!A3:A185)-MIN('Curve-Barrows'!A3:A185))/(MAX('Curve-Barrows'!B3:B185)-MIN('Curve-Barrows'!B3:B185))*1000</f>
        <v>513.62678828061985</v>
      </c>
      <c r="G6" s="60">
        <f>E6/'Adj-Mixed'!E6</f>
        <v>1.0090746250659124</v>
      </c>
    </row>
    <row r="7" spans="1:10" x14ac:dyDescent="0.25">
      <c r="A7" s="120" t="s">
        <v>101</v>
      </c>
      <c r="B7" s="26">
        <f>1/(MAX('Curve-Barrows'!K3:K185)/(MAX('Curve-Barrows'!H3:H185)-MIN('Curve-Barrows'!H3:H185)))</f>
        <v>0.41587726595272795</v>
      </c>
      <c r="C7" s="123">
        <f>(1/'I-Mixed'!C4*'Adj-Barrows'!G7)/E7</f>
        <v>0.62690210535924462</v>
      </c>
      <c r="D7" s="120" t="s">
        <v>101</v>
      </c>
      <c r="E7" s="26">
        <f>1/(MAX('Curve-Barrows'!D4:D185)/(MAX('Curve-Barrows'!A3:A185)-MIN('Curve-Barrows'!A3:A185)))</f>
        <v>0.66338470137121408</v>
      </c>
      <c r="G7" s="60">
        <f>E7/'Adj-Mixed'!E7</f>
        <v>0.99810543828654685</v>
      </c>
    </row>
    <row r="8" spans="1:10" x14ac:dyDescent="0.25">
      <c r="A8" s="120" t="s">
        <v>4</v>
      </c>
      <c r="B8" s="26">
        <f>1/B7</f>
        <v>2.4045555789377251</v>
      </c>
      <c r="C8" s="123">
        <f>'I-Mixed'!C4*'Adj-Barrows'!G8/E8</f>
        <v>1.5951453846640897</v>
      </c>
      <c r="D8" s="120" t="s">
        <v>4</v>
      </c>
      <c r="E8" s="26">
        <f>1/E7</f>
        <v>1.5074209548893773</v>
      </c>
      <c r="G8" s="60">
        <f>E8/'Adj-Mixed'!E8</f>
        <v>1.0018981578907189</v>
      </c>
      <c r="J8" s="1"/>
    </row>
    <row r="9" spans="1:10" x14ac:dyDescent="0.25">
      <c r="A9" s="120" t="s">
        <v>102</v>
      </c>
      <c r="B9" s="24">
        <f>MAX('Curve-Barrows'!K4:K185)</f>
        <v>102.87834321690946</v>
      </c>
      <c r="C9" s="120"/>
      <c r="D9" s="120" t="s">
        <v>102</v>
      </c>
      <c r="E9" s="24">
        <f>MAX('Curve-Barrows'!D4:D185)</f>
        <v>41.035344533277005</v>
      </c>
    </row>
    <row r="10" spans="1:10" x14ac:dyDescent="0.25">
      <c r="A10" s="120" t="s">
        <v>103</v>
      </c>
      <c r="B10" s="121">
        <f>B1+B2</f>
        <v>74.75</v>
      </c>
      <c r="C10" s="120"/>
      <c r="D10" s="120" t="s">
        <v>103</v>
      </c>
      <c r="E10" s="25">
        <f>MAX('Curve-Barrows'!B4:B185)</f>
        <v>74</v>
      </c>
    </row>
    <row r="11" spans="1:10" x14ac:dyDescent="0.25">
      <c r="F11" s="4"/>
      <c r="J11" s="2"/>
    </row>
    <row r="12" spans="1:10" x14ac:dyDescent="0.25">
      <c r="A12" s="120" t="s">
        <v>122</v>
      </c>
      <c r="B12" s="26">
        <f>1/'Adj-Gilts'!B12</f>
        <v>0.9925905881948347</v>
      </c>
      <c r="F12" s="1"/>
      <c r="J12" s="4"/>
    </row>
    <row r="15" spans="1:10" x14ac:dyDescent="0.25">
      <c r="C15" s="2"/>
    </row>
    <row r="16" spans="1:10" x14ac:dyDescent="0.25">
      <c r="A16" s="18"/>
      <c r="B16" s="3"/>
    </row>
  </sheetData>
  <mergeCells count="2">
    <mergeCell ref="A5:B5"/>
    <mergeCell ref="D5:E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B193F-3847-4E6B-A1CA-B9FFE5654F9C}">
  <sheetPr codeName="Sheet11"/>
  <dimension ref="A1:J23"/>
  <sheetViews>
    <sheetView showGridLines="0" workbookViewId="0">
      <selection activeCell="B12" sqref="B12"/>
    </sheetView>
  </sheetViews>
  <sheetFormatPr defaultColWidth="8.85546875" defaultRowHeight="15" x14ac:dyDescent="0.25"/>
  <cols>
    <col min="1" max="1" width="13.42578125" bestFit="1" customWidth="1"/>
    <col min="2" max="2" width="9.42578125" bestFit="1" customWidth="1"/>
    <col min="4" max="4" width="12" bestFit="1" customWidth="1"/>
    <col min="7" max="7" width="14.7109375" bestFit="1" customWidth="1"/>
  </cols>
  <sheetData>
    <row r="1" spans="1:10" x14ac:dyDescent="0.25">
      <c r="A1" s="18" t="s">
        <v>77</v>
      </c>
      <c r="B1" s="4">
        <f>'Adj-Mixed'!B1</f>
        <v>53.75</v>
      </c>
    </row>
    <row r="2" spans="1:10" x14ac:dyDescent="0.25">
      <c r="A2" t="s">
        <v>94</v>
      </c>
      <c r="B2" s="4">
        <f>'I-Mixed'!C5</f>
        <v>21</v>
      </c>
    </row>
    <row r="3" spans="1:10" x14ac:dyDescent="0.25">
      <c r="I3" s="2"/>
    </row>
    <row r="4" spans="1:10" x14ac:dyDescent="0.25">
      <c r="I4" s="2"/>
    </row>
    <row r="5" spans="1:10" x14ac:dyDescent="0.25">
      <c r="A5" s="251" t="s">
        <v>98</v>
      </c>
      <c r="B5" s="251"/>
      <c r="C5" s="217" t="s">
        <v>99</v>
      </c>
      <c r="D5" s="251">
        <f>'E-Gilts'!A1</f>
        <v>337</v>
      </c>
      <c r="E5" s="251"/>
      <c r="G5" s="218" t="s">
        <v>123</v>
      </c>
    </row>
    <row r="6" spans="1:10" x14ac:dyDescent="0.25">
      <c r="A6" s="119" t="s">
        <v>100</v>
      </c>
      <c r="B6" s="25">
        <f>((MAX('Curve-Gilts'!H3:H185)-MIN('Curve-Gilts'!H3:H185))/(MAX('Curve-Gilts'!I3:I185)-MIN('Curve-Gilts'!I3:I185))*1000)</f>
        <v>792.74029994727096</v>
      </c>
      <c r="C6" s="123">
        <f>'I-Mixed'!C3*'Adj-Gilts'!G6/E6</f>
        <v>1.5716853530071015</v>
      </c>
      <c r="D6" s="119" t="s">
        <v>100</v>
      </c>
      <c r="E6" s="25">
        <f>(MAX('Curve-Gilts'!A3:A185)-MIN('Curve-Gilts'!A3:A185))/(MAX('Curve-Gilts'!B3:B185)-MIN('Curve-Gilts'!B3:B185))*1000</f>
        <v>504.38867959831947</v>
      </c>
      <c r="G6" s="60">
        <f>E6/'Adj-Mixed'!E6</f>
        <v>0.99092537493408828</v>
      </c>
    </row>
    <row r="7" spans="1:10" x14ac:dyDescent="0.25">
      <c r="A7" s="120" t="s">
        <v>101</v>
      </c>
      <c r="B7" s="26">
        <f>1/(MAX('Curve-Gilts'!K3:K185)/(MAX('Curve-Gilts'!H3:H185)-MIN('Curve-Gilts'!H3:H185)))</f>
        <v>0.41747361122799637</v>
      </c>
      <c r="C7" s="123">
        <f>(1/'I-Mixed'!C4*'Adj-Gilts'!G7)/E7</f>
        <v>0.62690210535924462</v>
      </c>
      <c r="D7" s="120" t="s">
        <v>101</v>
      </c>
      <c r="E7" s="26">
        <f>1/(MAX('Curve-Gilts'!D4:D185)/(MAX('Curve-Gilts'!A3:A185)-MIN('Curve-Gilts'!A3:A185)))</f>
        <v>0.66593110416938861</v>
      </c>
      <c r="G7" s="60">
        <f>E7/'Adj-Mixed'!E7</f>
        <v>1.0019366669471907</v>
      </c>
    </row>
    <row r="8" spans="1:10" x14ac:dyDescent="0.25">
      <c r="A8" s="120" t="s">
        <v>4</v>
      </c>
      <c r="B8" s="26">
        <f>1/B7</f>
        <v>2.3953609835565546</v>
      </c>
      <c r="C8" s="123">
        <f>'I-Mixed'!C4*'Adj-Gilts'!G8/E8</f>
        <v>1.5951453846640899</v>
      </c>
      <c r="D8" s="120" t="s">
        <v>4</v>
      </c>
      <c r="E8" s="26">
        <f>1/E7</f>
        <v>1.5016568436869957</v>
      </c>
      <c r="G8" s="60">
        <f>E8/'Adj-Mixed'!E8</f>
        <v>0.9980670764818983</v>
      </c>
      <c r="J8" s="1"/>
    </row>
    <row r="9" spans="1:10" x14ac:dyDescent="0.25">
      <c r="A9" s="120" t="s">
        <v>102</v>
      </c>
      <c r="B9" s="24">
        <f>MAX('Curve-Gilts'!K4:K185)</f>
        <v>100.64165678309048</v>
      </c>
      <c r="C9" s="120"/>
      <c r="D9" s="120" t="s">
        <v>102</v>
      </c>
      <c r="E9" s="24">
        <f>MAX('Curve-Gilts'!D4:D185)</f>
        <v>40.143191767644382</v>
      </c>
    </row>
    <row r="10" spans="1:10" x14ac:dyDescent="0.25">
      <c r="A10" s="120" t="s">
        <v>103</v>
      </c>
      <c r="B10" s="121">
        <f>B1+B2</f>
        <v>74.75</v>
      </c>
      <c r="C10" s="120"/>
      <c r="D10" s="120" t="s">
        <v>103</v>
      </c>
      <c r="E10" s="25">
        <f>MAX('Curve-Gilts'!B4:B185)</f>
        <v>74</v>
      </c>
    </row>
    <row r="11" spans="1:10" x14ac:dyDescent="0.25">
      <c r="F11" s="4"/>
      <c r="J11" s="2"/>
    </row>
    <row r="12" spans="1:10" x14ac:dyDescent="0.25">
      <c r="A12" s="120" t="s">
        <v>124</v>
      </c>
      <c r="B12" s="27">
        <f>IF('Adj-Mixed'!A17='Adj-Mixed'!A19,(VLOOKUP(B2,'800'!A6:AF188,32)),IF('Adj-Mixed'!A17='Adj-Mixed'!A20,(VLOOKUP(B2,'800'!A6:AF188,31)),IF('Adj-Mixed'!A17='Adj-Mixed'!A21,(VLOOKUP(B2,'800'!A6:AF188,30)))))</f>
        <v>1.0074647209970431</v>
      </c>
      <c r="F12" s="1"/>
      <c r="J12" s="4"/>
    </row>
    <row r="16" spans="1:10" x14ac:dyDescent="0.25">
      <c r="A16" s="18"/>
      <c r="B16" s="3"/>
    </row>
    <row r="20" spans="6:7" x14ac:dyDescent="0.25">
      <c r="F20" s="4"/>
      <c r="G20" s="4"/>
    </row>
    <row r="23" spans="6:7" x14ac:dyDescent="0.25">
      <c r="F23" s="1"/>
    </row>
  </sheetData>
  <mergeCells count="2">
    <mergeCell ref="A5:B5"/>
    <mergeCell ref="D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53D5-DFEC-49BB-A685-84A05DD024EC}">
  <sheetPr codeName="Sheet2"/>
  <dimension ref="A1:S55"/>
  <sheetViews>
    <sheetView zoomScale="80" zoomScaleNormal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8" sqref="E18"/>
    </sheetView>
  </sheetViews>
  <sheetFormatPr defaultColWidth="8.85546875" defaultRowHeight="15" x14ac:dyDescent="0.25"/>
  <cols>
    <col min="1" max="4" width="13.140625" customWidth="1"/>
    <col min="5" max="10" width="10" bestFit="1" customWidth="1"/>
    <col min="11" max="19" width="13.140625" customWidth="1"/>
  </cols>
  <sheetData>
    <row r="1" spans="1:19" ht="26.25" x14ac:dyDescent="0.25">
      <c r="A1" s="35" t="s">
        <v>6</v>
      </c>
      <c r="B1" s="221">
        <v>337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</row>
    <row r="2" spans="1:19" ht="15.75" x14ac:dyDescent="0.25">
      <c r="A2" s="35" t="s">
        <v>7</v>
      </c>
      <c r="B2" s="222" t="s">
        <v>8</v>
      </c>
      <c r="C2" s="222"/>
      <c r="D2" s="222"/>
      <c r="E2" s="222"/>
      <c r="F2" s="222"/>
      <c r="G2" s="222"/>
      <c r="H2" s="222"/>
      <c r="I2" s="222"/>
      <c r="J2" s="222"/>
      <c r="K2" s="223" t="s">
        <v>9</v>
      </c>
      <c r="L2" s="223"/>
      <c r="M2" s="223"/>
      <c r="N2" s="223"/>
      <c r="O2" s="223"/>
      <c r="P2" s="223"/>
      <c r="Q2" s="223"/>
      <c r="R2" s="223"/>
      <c r="S2" s="223"/>
    </row>
    <row r="3" spans="1:19" x14ac:dyDescent="0.25">
      <c r="B3" s="222" t="s">
        <v>1</v>
      </c>
      <c r="C3" s="222"/>
      <c r="D3" s="222"/>
      <c r="E3" s="222" t="s">
        <v>10</v>
      </c>
      <c r="F3" s="222"/>
      <c r="G3" s="222"/>
      <c r="H3" s="222" t="s">
        <v>4</v>
      </c>
      <c r="I3" s="222"/>
      <c r="J3" s="222"/>
      <c r="K3" s="223" t="s">
        <v>1</v>
      </c>
      <c r="L3" s="223"/>
      <c r="M3" s="223"/>
      <c r="N3" s="223" t="s">
        <v>10</v>
      </c>
      <c r="O3" s="223"/>
      <c r="P3" s="223"/>
      <c r="Q3" s="223" t="s">
        <v>4</v>
      </c>
      <c r="R3" s="223"/>
      <c r="S3" s="223"/>
    </row>
    <row r="4" spans="1:19" ht="15.75" x14ac:dyDescent="0.25">
      <c r="A4" s="36" t="s">
        <v>11</v>
      </c>
      <c r="B4" s="212" t="s">
        <v>12</v>
      </c>
      <c r="C4" s="212" t="s">
        <v>13</v>
      </c>
      <c r="D4" s="212" t="s">
        <v>14</v>
      </c>
      <c r="E4" s="212" t="s">
        <v>12</v>
      </c>
      <c r="F4" s="212" t="s">
        <v>13</v>
      </c>
      <c r="G4" s="212" t="s">
        <v>14</v>
      </c>
      <c r="H4" s="212" t="s">
        <v>12</v>
      </c>
      <c r="I4" s="212" t="s">
        <v>13</v>
      </c>
      <c r="J4" s="212" t="s">
        <v>14</v>
      </c>
      <c r="K4" s="213" t="s">
        <v>12</v>
      </c>
      <c r="L4" s="213" t="s">
        <v>13</v>
      </c>
      <c r="M4" s="213" t="s">
        <v>14</v>
      </c>
      <c r="N4" s="213" t="s">
        <v>12</v>
      </c>
      <c r="O4" s="213" t="s">
        <v>13</v>
      </c>
      <c r="P4" s="213" t="s">
        <v>14</v>
      </c>
      <c r="Q4" s="213" t="s">
        <v>12</v>
      </c>
      <c r="R4" s="213" t="s">
        <v>13</v>
      </c>
      <c r="S4" s="213" t="s">
        <v>14</v>
      </c>
    </row>
    <row r="5" spans="1:19" x14ac:dyDescent="0.25">
      <c r="A5" s="94" t="s">
        <v>15</v>
      </c>
      <c r="B5" s="95">
        <v>1.0275765347288939</v>
      </c>
      <c r="C5" s="95">
        <v>1.0199810517155496</v>
      </c>
      <c r="D5" s="95">
        <v>1.0351720177422381</v>
      </c>
      <c r="E5" s="95">
        <v>1.0004892110895911</v>
      </c>
      <c r="F5" s="96">
        <v>0.95578130867413658</v>
      </c>
      <c r="G5" s="96">
        <v>1.0442186913258635</v>
      </c>
      <c r="H5" s="95">
        <v>1</v>
      </c>
      <c r="I5" s="96">
        <v>1</v>
      </c>
      <c r="J5" s="96">
        <v>1</v>
      </c>
      <c r="K5" s="95">
        <v>1.0682563238519718</v>
      </c>
      <c r="L5" s="96">
        <v>0.99628151821600364</v>
      </c>
      <c r="M5" s="96">
        <v>1.0037184817839966</v>
      </c>
      <c r="N5" s="95">
        <v>1.0684112766966949</v>
      </c>
      <c r="O5" s="96">
        <v>0.95536422430868129</v>
      </c>
      <c r="P5" s="96">
        <v>1.0446357756913187</v>
      </c>
      <c r="Q5" s="95">
        <v>1.0093861326473264</v>
      </c>
      <c r="R5" s="96">
        <v>0.93104277433922933</v>
      </c>
      <c r="S5" s="96">
        <v>1.0689572256607707</v>
      </c>
    </row>
    <row r="6" spans="1:19" x14ac:dyDescent="0.25">
      <c r="A6" s="97">
        <f>60</f>
        <v>60</v>
      </c>
      <c r="B6" s="98">
        <v>23.182390363398852</v>
      </c>
      <c r="C6" s="98">
        <v>23.011034317145455</v>
      </c>
      <c r="D6" s="98">
        <v>23.353746409652249</v>
      </c>
      <c r="E6" s="98">
        <v>1.0914141023729547</v>
      </c>
      <c r="F6" s="99">
        <v>1.0431531990714307</v>
      </c>
      <c r="G6" s="99">
        <v>1.1396750056744787</v>
      </c>
      <c r="H6" s="99">
        <v>1.568665723318023</v>
      </c>
      <c r="I6" s="99">
        <v>1.4604948870488661</v>
      </c>
      <c r="J6" s="99">
        <v>1.6768365595871799</v>
      </c>
      <c r="K6" s="98">
        <v>22.560256662064667</v>
      </c>
      <c r="L6" s="98">
        <v>22.476366758624497</v>
      </c>
      <c r="M6" s="98">
        <v>22.64414656550484</v>
      </c>
      <c r="N6" s="99">
        <v>1.0908804315684135</v>
      </c>
      <c r="O6" s="99">
        <v>1.0421881373188768</v>
      </c>
      <c r="P6" s="99">
        <v>1.1395727258179502</v>
      </c>
      <c r="Q6" s="99">
        <v>1.568665723318023</v>
      </c>
      <c r="R6" s="99">
        <v>1.4604948870488661</v>
      </c>
      <c r="S6" s="99">
        <v>1.6768365595871799</v>
      </c>
    </row>
    <row r="7" spans="1:19" x14ac:dyDescent="0.25">
      <c r="A7">
        <f>Nursery!A2</f>
        <v>18</v>
      </c>
      <c r="B7" s="2">
        <v>6.2020904927831051</v>
      </c>
      <c r="C7" s="2">
        <v>6.1562468291794143</v>
      </c>
      <c r="D7" s="2">
        <v>6.2479341563867958</v>
      </c>
      <c r="E7" s="1">
        <v>6.4136037320489947E-3</v>
      </c>
      <c r="F7" s="1">
        <v>6.1270051694602328E-3</v>
      </c>
      <c r="G7" s="1">
        <v>6.6939301509001074E-3</v>
      </c>
      <c r="H7" s="1">
        <v>0.97378083320571029</v>
      </c>
      <c r="I7" s="1">
        <v>0.93719382842613708</v>
      </c>
      <c r="J7" s="1">
        <v>1.0088856147201086</v>
      </c>
      <c r="K7" s="100">
        <v>6.0356482297636411</v>
      </c>
      <c r="L7" s="101">
        <v>6.013204781766655</v>
      </c>
      <c r="M7" s="101">
        <v>6.0580916777606282</v>
      </c>
      <c r="N7" s="102">
        <v>6.4104676601801696E-3</v>
      </c>
      <c r="O7" s="102">
        <v>6.1243314636239147E-3</v>
      </c>
      <c r="P7" s="103">
        <v>6.6966038567364246E-3</v>
      </c>
      <c r="Q7" s="104">
        <v>1.000145052120212</v>
      </c>
      <c r="R7" s="104">
        <v>0.95906908282911996</v>
      </c>
      <c r="S7" s="104">
        <v>1.0409166726395269</v>
      </c>
    </row>
    <row r="8" spans="1:19" x14ac:dyDescent="0.25">
      <c r="A8">
        <f>A7+1</f>
        <v>19</v>
      </c>
      <c r="B8" s="2">
        <v>6.2086767835719012</v>
      </c>
      <c r="C8" s="2">
        <v>6.1627844364316404</v>
      </c>
      <c r="D8" s="2">
        <v>6.2545691307121629</v>
      </c>
      <c r="E8" s="1">
        <v>3.3580458653036931E-2</v>
      </c>
      <c r="F8" s="1">
        <v>3.2079880883796257E-2</v>
      </c>
      <c r="G8" s="1">
        <v>3.5048196622338677E-2</v>
      </c>
      <c r="H8" s="1">
        <v>0.98351864153774893</v>
      </c>
      <c r="I8" s="1">
        <v>0.94656576671044446</v>
      </c>
      <c r="J8" s="1">
        <v>1.0189744708674118</v>
      </c>
      <c r="K8" s="2">
        <v>6.0420577677067531</v>
      </c>
      <c r="L8" s="105">
        <v>6.0195904859596814</v>
      </c>
      <c r="M8" s="105">
        <v>6.0645250494538256</v>
      </c>
      <c r="N8" s="104">
        <v>3.3564038753067467E-2</v>
      </c>
      <c r="O8" s="104">
        <v>3.2065881847990821E-2</v>
      </c>
      <c r="P8" s="104">
        <v>3.5062195658144113E-2</v>
      </c>
      <c r="Q8" s="104">
        <v>1.0101465026414387</v>
      </c>
      <c r="R8" s="104">
        <v>0.96865977365738687</v>
      </c>
      <c r="S8" s="104">
        <v>1.0513258393659712</v>
      </c>
    </row>
    <row r="9" spans="1:19" x14ac:dyDescent="0.25">
      <c r="A9">
        <f>Nursery!A4</f>
        <v>20</v>
      </c>
      <c r="B9" s="2">
        <v>6.2428199682913421</v>
      </c>
      <c r="C9" s="2">
        <v>6.1966752467820738</v>
      </c>
      <c r="D9" s="2">
        <v>6.2889646898006095</v>
      </c>
      <c r="E9" s="1">
        <v>5.969310610976121E-2</v>
      </c>
      <c r="F9" s="1">
        <v>5.7025657492375176E-2</v>
      </c>
      <c r="G9" s="1">
        <v>6.2302178226616621E-2</v>
      </c>
      <c r="H9" s="1">
        <v>0.99325644986980688</v>
      </c>
      <c r="I9" s="1">
        <v>0.95593770499466835</v>
      </c>
      <c r="J9" s="1">
        <v>1.0290633270145881</v>
      </c>
      <c r="K9" s="2">
        <v>6.0752846696118734</v>
      </c>
      <c r="L9" s="105">
        <v>6.0526938342353294</v>
      </c>
      <c r="M9" s="105">
        <v>6.0978755049884192</v>
      </c>
      <c r="N9" s="104">
        <v>5.9663917859495895E-2</v>
      </c>
      <c r="O9" s="104">
        <v>5.7000772605054172E-2</v>
      </c>
      <c r="P9" s="104">
        <v>6.2327063113937618E-2</v>
      </c>
      <c r="Q9" s="104">
        <v>1.0201479531626272</v>
      </c>
      <c r="R9" s="104">
        <v>0.9782504644856731</v>
      </c>
      <c r="S9" s="104">
        <v>1.0617350060923716</v>
      </c>
    </row>
    <row r="10" spans="1:19" x14ac:dyDescent="0.25">
      <c r="A10">
        <f t="shared" ref="A10" si="0">A9+1</f>
        <v>21</v>
      </c>
      <c r="B10" s="2">
        <v>6.3029183508566762</v>
      </c>
      <c r="C10" s="2">
        <v>6.2563294033180306</v>
      </c>
      <c r="D10" s="2">
        <v>6.3495072983953218</v>
      </c>
      <c r="E10" s="1">
        <v>8.604769439863208E-2</v>
      </c>
      <c r="F10" s="1">
        <v>8.2202563555032804E-2</v>
      </c>
      <c r="G10" s="1">
        <v>8.9808675436582372E-2</v>
      </c>
      <c r="H10" s="1">
        <v>1.0029942582018823</v>
      </c>
      <c r="I10" s="1">
        <v>0.96530964327894764</v>
      </c>
      <c r="J10" s="1">
        <v>1.0391521831618138</v>
      </c>
      <c r="K10" s="2">
        <v>6.133770223275465</v>
      </c>
      <c r="L10" s="105">
        <v>6.1109619104329962</v>
      </c>
      <c r="M10" s="105">
        <v>6.1565785361179355</v>
      </c>
      <c r="N10" s="104">
        <v>8.6005619495807581E-2</v>
      </c>
      <c r="O10" s="104">
        <v>8.21666919557998E-2</v>
      </c>
      <c r="P10" s="104">
        <v>8.9844547035815361E-2</v>
      </c>
      <c r="Q10" s="104">
        <v>1.0301494036838437</v>
      </c>
      <c r="R10" s="104">
        <v>0.98784115531398342</v>
      </c>
      <c r="S10" s="104">
        <v>1.0721441728187764</v>
      </c>
    </row>
    <row r="11" spans="1:19" x14ac:dyDescent="0.25">
      <c r="A11">
        <f>Nursery!A6</f>
        <v>22</v>
      </c>
      <c r="B11" s="2">
        <v>6.3887091654052002</v>
      </c>
      <c r="C11" s="2">
        <v>6.3414860824493076</v>
      </c>
      <c r="D11" s="2">
        <v>6.4359322483610937</v>
      </c>
      <c r="E11" s="1">
        <v>0.11229755283614822</v>
      </c>
      <c r="F11" s="1">
        <v>0.1072794197288205</v>
      </c>
      <c r="G11" s="1">
        <v>0.11720586525261301</v>
      </c>
      <c r="H11" s="1">
        <v>1.012732066533923</v>
      </c>
      <c r="I11" s="1">
        <v>0.97468158156320561</v>
      </c>
      <c r="J11" s="1">
        <v>1.0492410393090048</v>
      </c>
      <c r="K11" s="2">
        <v>6.2172587145450313</v>
      </c>
      <c r="L11" s="105">
        <v>6.1941399512686033</v>
      </c>
      <c r="M11" s="105">
        <v>6.2403774778214611</v>
      </c>
      <c r="N11" s="104">
        <v>0.11224264249071675</v>
      </c>
      <c r="O11" s="104">
        <v>0.10723260507750024</v>
      </c>
      <c r="P11" s="104">
        <v>0.11725267990393326</v>
      </c>
      <c r="Q11" s="104">
        <v>1.0401508542050362</v>
      </c>
      <c r="R11" s="104">
        <v>0.99743184614226521</v>
      </c>
      <c r="S11" s="104">
        <v>1.0825533395451619</v>
      </c>
    </row>
    <row r="12" spans="1:19" x14ac:dyDescent="0.25">
      <c r="A12">
        <f t="shared" ref="A12" si="1">A11+1</f>
        <v>23</v>
      </c>
      <c r="B12" s="2">
        <v>6.4995949135187034</v>
      </c>
      <c r="C12" s="2">
        <v>6.4515522022550851</v>
      </c>
      <c r="D12" s="2">
        <v>6.5476376247823218</v>
      </c>
      <c r="E12" s="1">
        <v>0.13842522644708283</v>
      </c>
      <c r="F12" s="1">
        <v>0.13223955103225901</v>
      </c>
      <c r="G12" s="1">
        <v>0.14447552977571831</v>
      </c>
      <c r="H12" s="1">
        <v>1.0224698748659804</v>
      </c>
      <c r="I12" s="1">
        <v>0.98405351984746003</v>
      </c>
      <c r="J12" s="1">
        <v>1.0593298954562</v>
      </c>
      <c r="K12" s="2">
        <v>6.3251686797553193</v>
      </c>
      <c r="L12" s="105">
        <v>6.301648655238945</v>
      </c>
      <c r="M12" s="105">
        <v>6.3486887042716953</v>
      </c>
      <c r="N12" s="104">
        <v>0.13835754040398865</v>
      </c>
      <c r="O12" s="104">
        <v>0.13218184426531365</v>
      </c>
      <c r="P12" s="104">
        <v>0.14453323654266365</v>
      </c>
      <c r="Q12" s="104">
        <v>1.0501523047262384</v>
      </c>
      <c r="R12" s="104">
        <v>1.0070225369705539</v>
      </c>
      <c r="S12" s="104">
        <v>1.09296250627156</v>
      </c>
    </row>
    <row r="13" spans="1:19" x14ac:dyDescent="0.25">
      <c r="A13" s="106">
        <f>Nursery!A8</f>
        <v>24</v>
      </c>
      <c r="B13" s="2">
        <v>6.63497809677897</v>
      </c>
      <c r="C13" s="2">
        <v>6.5859346808145416</v>
      </c>
      <c r="D13" s="2">
        <v>6.6840215127433993</v>
      </c>
      <c r="E13" s="1">
        <v>0.16441326025621206</v>
      </c>
      <c r="F13" s="1">
        <v>0.15706628248387181</v>
      </c>
      <c r="G13" s="1">
        <v>0.17159945110691111</v>
      </c>
      <c r="H13" s="1">
        <v>1.0322076831980422</v>
      </c>
      <c r="I13" s="1">
        <v>0.99342545813173522</v>
      </c>
      <c r="J13" s="1">
        <v>1.0694187516034104</v>
      </c>
      <c r="K13" s="2">
        <v>6.456918655241072</v>
      </c>
      <c r="L13" s="105">
        <v>6.4329087208408122</v>
      </c>
      <c r="M13" s="105">
        <v>6.4809285896413336</v>
      </c>
      <c r="N13" s="104">
        <v>0.16433286679539144</v>
      </c>
      <c r="O13" s="104">
        <v>0.15699774181440099</v>
      </c>
      <c r="P13" s="104">
        <v>0.1716679917763819</v>
      </c>
      <c r="Q13" s="104">
        <v>1.0601537552474465</v>
      </c>
      <c r="R13" s="104">
        <v>1.0166132277988527</v>
      </c>
      <c r="S13" s="104">
        <v>1.1033716729979599</v>
      </c>
    </row>
    <row r="14" spans="1:19" x14ac:dyDescent="0.25">
      <c r="A14">
        <f t="shared" ref="A14" si="2">A13+1</f>
        <v>25</v>
      </c>
      <c r="B14" s="2">
        <v>6.7942612167677865</v>
      </c>
      <c r="C14" s="2">
        <v>6.7440404362068538</v>
      </c>
      <c r="D14" s="2">
        <v>6.8444819973287192</v>
      </c>
      <c r="E14" s="1">
        <v>0.19202218245922689</v>
      </c>
      <c r="F14" s="1">
        <v>0.18344147124332058</v>
      </c>
      <c r="G14" s="1">
        <v>0.20041510678035157</v>
      </c>
      <c r="H14" s="1">
        <v>1.051683299862153</v>
      </c>
      <c r="I14" s="1">
        <v>1.0121693347002454</v>
      </c>
      <c r="J14" s="1">
        <v>1.0895964638978106</v>
      </c>
      <c r="K14" s="2">
        <v>6.6119271773370345</v>
      </c>
      <c r="L14" s="105">
        <v>6.5873408465709966</v>
      </c>
      <c r="M14" s="105">
        <v>6.6365135081030742</v>
      </c>
      <c r="N14" s="104">
        <v>0.19192828901183606</v>
      </c>
      <c r="O14" s="104">
        <v>0.18336142095468516</v>
      </c>
      <c r="P14" s="104">
        <v>0.20049515706898696</v>
      </c>
      <c r="Q14" s="104">
        <v>1.0801566562898446</v>
      </c>
      <c r="R14" s="104">
        <v>1.035794609455428</v>
      </c>
      <c r="S14" s="104">
        <v>1.1241900064507448</v>
      </c>
    </row>
    <row r="15" spans="1:19" x14ac:dyDescent="0.25">
      <c r="A15">
        <f>Nursery!A10</f>
        <v>26</v>
      </c>
      <c r="B15" s="2">
        <v>6.9768467750669396</v>
      </c>
      <c r="C15" s="2">
        <v>6.9252763865112037</v>
      </c>
      <c r="D15" s="2">
        <v>7.0284171636226764</v>
      </c>
      <c r="E15" s="1">
        <v>0.21874553134276437</v>
      </c>
      <c r="F15" s="1">
        <v>0.20897065944940488</v>
      </c>
      <c r="G15" s="1">
        <v>0.22830648240910201</v>
      </c>
      <c r="H15" s="1">
        <v>1.0655414316299838</v>
      </c>
      <c r="I15" s="1">
        <v>1.0255067871571597</v>
      </c>
      <c r="J15" s="1">
        <v>1.103954181066505</v>
      </c>
      <c r="K15" s="2">
        <v>6.7896127823779526</v>
      </c>
      <c r="L15" s="105">
        <v>6.7643657309262917</v>
      </c>
      <c r="M15" s="105">
        <v>6.8148598338296154</v>
      </c>
      <c r="N15" s="104">
        <v>0.21863857092925343</v>
      </c>
      <c r="O15" s="104">
        <v>0.2088794687197848</v>
      </c>
      <c r="P15" s="104">
        <v>0.22839767313872206</v>
      </c>
      <c r="Q15" s="104">
        <v>1.0943899842077924</v>
      </c>
      <c r="R15" s="104">
        <v>1.0494433744250056</v>
      </c>
      <c r="S15" s="104">
        <v>1.1390035660494573</v>
      </c>
    </row>
    <row r="16" spans="1:19" x14ac:dyDescent="0.25">
      <c r="A16">
        <f t="shared" ref="A16" si="3">A15+1</f>
        <v>27</v>
      </c>
      <c r="B16" s="2">
        <v>7.1821372732582152</v>
      </c>
      <c r="C16" s="2">
        <v>7.1290494498067662</v>
      </c>
      <c r="D16" s="2">
        <v>7.2352250967096641</v>
      </c>
      <c r="E16" s="1">
        <v>0.24546888022630184</v>
      </c>
      <c r="F16" s="1">
        <v>0.23449984765548917</v>
      </c>
      <c r="G16" s="1">
        <v>0.25619785803785244</v>
      </c>
      <c r="H16" s="1">
        <v>1.0794683566074716</v>
      </c>
      <c r="I16" s="1">
        <v>1.0389104481173823</v>
      </c>
      <c r="J16" s="1">
        <v>1.1183831714388237</v>
      </c>
      <c r="K16" s="2">
        <v>6.9893940066985696</v>
      </c>
      <c r="L16" s="105">
        <v>6.9634040724034874</v>
      </c>
      <c r="M16" s="105">
        <v>7.0153839409936527</v>
      </c>
      <c r="N16" s="104">
        <v>0.2453488528466708</v>
      </c>
      <c r="O16" s="104">
        <v>0.23439751648488444</v>
      </c>
      <c r="P16" s="104">
        <v>0.25630018920845715</v>
      </c>
      <c r="Q16" s="104">
        <v>1.1086939678481653</v>
      </c>
      <c r="R16" s="104">
        <v>1.0631598932856343</v>
      </c>
      <c r="S16" s="104">
        <v>1.1538906617010911</v>
      </c>
    </row>
    <row r="17" spans="1:19" x14ac:dyDescent="0.25">
      <c r="A17">
        <f>Nursery!A12</f>
        <v>28</v>
      </c>
      <c r="B17" s="2">
        <v>7.4095352129233998</v>
      </c>
      <c r="C17" s="2">
        <v>7.3547665441727226</v>
      </c>
      <c r="D17" s="2">
        <v>7.464303881674077</v>
      </c>
      <c r="E17" s="1">
        <v>0.27219222910983937</v>
      </c>
      <c r="F17" s="1">
        <v>0.2600290358615735</v>
      </c>
      <c r="G17" s="1">
        <v>0.28408923366660294</v>
      </c>
      <c r="H17" s="1">
        <v>1.093546038536154</v>
      </c>
      <c r="I17" s="1">
        <v>1.0524592017713987</v>
      </c>
      <c r="J17" s="1">
        <v>1.1329683535477126</v>
      </c>
      <c r="K17" s="2">
        <v>7.2106893866336312</v>
      </c>
      <c r="L17" s="105">
        <v>7.183876569499378</v>
      </c>
      <c r="M17" s="105">
        <v>7.2375022037678862</v>
      </c>
      <c r="N17" s="104">
        <v>0.27205913476408822</v>
      </c>
      <c r="O17" s="104">
        <v>0.25991556424998413</v>
      </c>
      <c r="P17" s="104">
        <v>0.2842027052781923</v>
      </c>
      <c r="Q17" s="104">
        <v>1.1231527900452953</v>
      </c>
      <c r="R17" s="104">
        <v>1.0770248914816389</v>
      </c>
      <c r="S17" s="104">
        <v>1.1689389080127865</v>
      </c>
    </row>
    <row r="18" spans="1:19" x14ac:dyDescent="0.25">
      <c r="A18">
        <f t="shared" ref="A18" si="4">A17+1</f>
        <v>29</v>
      </c>
      <c r="B18" s="2">
        <v>7.6584430956442793</v>
      </c>
      <c r="C18" s="2">
        <v>7.6018345876882503</v>
      </c>
      <c r="D18" s="2">
        <v>7.7150516036003092</v>
      </c>
      <c r="E18" s="1">
        <v>0.29891557799337687</v>
      </c>
      <c r="F18" s="1">
        <v>0.2855582240676578</v>
      </c>
      <c r="G18" s="1">
        <v>0.31198060929535337</v>
      </c>
      <c r="H18" s="1">
        <v>1.1078319447606817</v>
      </c>
      <c r="I18" s="1">
        <v>1.0662083562942168</v>
      </c>
      <c r="J18" s="1">
        <v>1.1477692664345747</v>
      </c>
      <c r="K18" s="2">
        <v>7.4529174585178817</v>
      </c>
      <c r="L18" s="105">
        <v>7.4252039207107545</v>
      </c>
      <c r="M18" s="105">
        <v>7.4806309963250106</v>
      </c>
      <c r="N18" s="104">
        <v>0.29876941668150558</v>
      </c>
      <c r="O18" s="104">
        <v>0.28543361201508377</v>
      </c>
      <c r="P18" s="104">
        <v>0.3121052213479274</v>
      </c>
      <c r="Q18" s="104">
        <v>1.1378254740192442</v>
      </c>
      <c r="R18" s="104">
        <v>1.091094968148725</v>
      </c>
      <c r="S18" s="104">
        <v>1.1842097343279048</v>
      </c>
    </row>
    <row r="19" spans="1:19" x14ac:dyDescent="0.25">
      <c r="A19">
        <f>Nursery!A14</f>
        <v>30</v>
      </c>
      <c r="B19" s="2">
        <v>7.9282634230026403</v>
      </c>
      <c r="C19" s="2">
        <v>7.8696604984325278</v>
      </c>
      <c r="D19" s="2">
        <v>7.9868663475727528</v>
      </c>
      <c r="E19" s="1">
        <v>0.32563892687691437</v>
      </c>
      <c r="F19" s="1">
        <v>0.31108741227374215</v>
      </c>
      <c r="G19" s="1">
        <v>0.33987198492410386</v>
      </c>
      <c r="H19" s="1">
        <v>1.1223693102237902</v>
      </c>
      <c r="I19" s="1">
        <v>1.0801995222003544</v>
      </c>
      <c r="J19" s="1">
        <v>1.1628307036610372</v>
      </c>
      <c r="K19" s="2">
        <v>7.7154967586860659</v>
      </c>
      <c r="L19" s="105">
        <v>7.6868068245344086</v>
      </c>
      <c r="M19" s="105">
        <v>7.744186692837725</v>
      </c>
      <c r="N19" s="104">
        <v>0.32547969859892301</v>
      </c>
      <c r="O19" s="104">
        <v>0.31095165978018346</v>
      </c>
      <c r="P19" s="104">
        <v>0.34000773741766255</v>
      </c>
      <c r="Q19" s="104">
        <v>1.1527564252589861</v>
      </c>
      <c r="R19" s="104">
        <v>1.105412705041894</v>
      </c>
      <c r="S19" s="104">
        <v>1.1997493563566011</v>
      </c>
    </row>
    <row r="20" spans="1:19" x14ac:dyDescent="0.25">
      <c r="A20">
        <f t="shared" ref="A20" si="5">A19+1</f>
        <v>31</v>
      </c>
      <c r="B20" s="2">
        <v>8.2183986965802696</v>
      </c>
      <c r="C20" s="2">
        <v>8.1576511944847354</v>
      </c>
      <c r="D20" s="2">
        <v>8.2791461986758037</v>
      </c>
      <c r="E20" s="1">
        <v>0.35236227576045182</v>
      </c>
      <c r="F20" s="1">
        <v>0.33661660047982644</v>
      </c>
      <c r="G20" s="1">
        <v>0.3677633605528543</v>
      </c>
      <c r="H20" s="1">
        <v>1.1371927740141323</v>
      </c>
      <c r="I20" s="1">
        <v>1.0944660371146726</v>
      </c>
      <c r="J20" s="1">
        <v>1.1781885530542771</v>
      </c>
      <c r="K20" s="2">
        <v>7.9978458234729297</v>
      </c>
      <c r="L20" s="105">
        <v>7.9681059794671345</v>
      </c>
      <c r="M20" s="105">
        <v>8.0275856674787267</v>
      </c>
      <c r="N20" s="104">
        <v>0.35218998051634037</v>
      </c>
      <c r="O20" s="104">
        <v>0.3364697075452831</v>
      </c>
      <c r="P20" s="104">
        <v>0.36791025348739764</v>
      </c>
      <c r="Q20" s="104">
        <v>1.1679812206745901</v>
      </c>
      <c r="R20" s="104">
        <v>1.1200122179271061</v>
      </c>
      <c r="S20" s="104">
        <v>1.2155948013268347</v>
      </c>
    </row>
    <row r="21" spans="1:19" x14ac:dyDescent="0.25">
      <c r="A21">
        <f>Nursery!A16</f>
        <v>32</v>
      </c>
      <c r="B21" s="2">
        <v>8.5282514179589519</v>
      </c>
      <c r="C21" s="2">
        <v>8.4652135939240498</v>
      </c>
      <c r="D21" s="2">
        <v>8.5912892419938558</v>
      </c>
      <c r="E21" s="1">
        <v>0.37908562464398937</v>
      </c>
      <c r="F21" s="1">
        <v>0.3621457886859108</v>
      </c>
      <c r="G21" s="1">
        <v>0.39565473618160479</v>
      </c>
      <c r="H21" s="1">
        <v>1.1523316625860143</v>
      </c>
      <c r="I21" s="1">
        <v>1.1090361256345926</v>
      </c>
      <c r="J21" s="1">
        <v>1.1938731982867634</v>
      </c>
      <c r="K21" s="2">
        <v>8.2993831892132164</v>
      </c>
      <c r="L21" s="105">
        <v>8.2685220840057205</v>
      </c>
      <c r="M21" s="105">
        <v>8.330244294420714</v>
      </c>
      <c r="N21" s="104">
        <v>0.3789002624337578</v>
      </c>
      <c r="O21" s="104">
        <v>0.3619877553103828</v>
      </c>
      <c r="P21" s="104">
        <v>0.39581276955713279</v>
      </c>
      <c r="Q21" s="104">
        <v>1.1835299807071002</v>
      </c>
      <c r="R21" s="104">
        <v>1.1349223901985095</v>
      </c>
      <c r="S21" s="104">
        <v>1.2317774175607563</v>
      </c>
    </row>
    <row r="22" spans="1:19" x14ac:dyDescent="0.25">
      <c r="A22">
        <f t="shared" ref="A22" si="6">A21+1</f>
        <v>33</v>
      </c>
      <c r="B22" s="2">
        <v>8.8572240887204767</v>
      </c>
      <c r="C22" s="2">
        <v>8.7917546148296495</v>
      </c>
      <c r="D22" s="2">
        <v>8.922693562611304</v>
      </c>
      <c r="E22" s="1">
        <v>0.40580897352752682</v>
      </c>
      <c r="F22" s="1">
        <v>0.38767497689199509</v>
      </c>
      <c r="G22" s="1">
        <v>0.42354611181035523</v>
      </c>
      <c r="H22" s="1">
        <v>1.1678120012497177</v>
      </c>
      <c r="I22" s="1">
        <v>1.1239348352444307</v>
      </c>
      <c r="J22" s="1">
        <v>1.2099116028807351</v>
      </c>
      <c r="K22" s="2">
        <v>8.6195273922416717</v>
      </c>
      <c r="L22" s="105">
        <v>8.5874758366469628</v>
      </c>
      <c r="M22" s="105">
        <v>8.6515789478363825</v>
      </c>
      <c r="N22" s="104">
        <v>0.40561054435117516</v>
      </c>
      <c r="O22" s="104">
        <v>0.38750580307548244</v>
      </c>
      <c r="P22" s="104">
        <v>0.42371528562686789</v>
      </c>
      <c r="Q22" s="104">
        <v>1.199429435278075</v>
      </c>
      <c r="R22" s="104">
        <v>1.150168853979477</v>
      </c>
      <c r="S22" s="104">
        <v>1.2483250246440702</v>
      </c>
    </row>
    <row r="23" spans="1:19" x14ac:dyDescent="0.25">
      <c r="A23">
        <f>Nursery!A18</f>
        <v>34</v>
      </c>
      <c r="B23" s="2">
        <v>9.2047192104466244</v>
      </c>
      <c r="C23" s="2">
        <v>9.1366811752807138</v>
      </c>
      <c r="D23" s="2">
        <v>9.2727572456125369</v>
      </c>
      <c r="E23" s="1">
        <v>0.43253232241106437</v>
      </c>
      <c r="F23" s="1">
        <v>0.41320416509807945</v>
      </c>
      <c r="G23" s="1">
        <v>0.45143748743910578</v>
      </c>
      <c r="H23" s="1">
        <v>1.1836578033434542</v>
      </c>
      <c r="I23" s="1">
        <v>1.1391852770505564</v>
      </c>
      <c r="J23" s="1">
        <v>1.2263286458548204</v>
      </c>
      <c r="K23" s="2">
        <v>8.957696968893039</v>
      </c>
      <c r="L23" s="105">
        <v>8.9243879358876512</v>
      </c>
      <c r="M23" s="105">
        <v>8.9910060018984286</v>
      </c>
      <c r="N23" s="104">
        <v>0.43232082626859258</v>
      </c>
      <c r="O23" s="104">
        <v>0.41302385084058213</v>
      </c>
      <c r="P23" s="104">
        <v>0.45161780169660304</v>
      </c>
      <c r="Q23" s="104">
        <v>1.2157042478647682</v>
      </c>
      <c r="R23" s="104">
        <v>1.1657752598179585</v>
      </c>
      <c r="S23" s="104">
        <v>1.2652632914781177</v>
      </c>
    </row>
    <row r="24" spans="1:19" x14ac:dyDescent="0.25">
      <c r="A24">
        <f t="shared" ref="A24" si="7">A23+1</f>
        <v>35</v>
      </c>
      <c r="B24" s="2">
        <v>9.570139284719188</v>
      </c>
      <c r="C24" s="2">
        <v>9.4994001933564203</v>
      </c>
      <c r="D24" s="2">
        <v>9.6408783760819539</v>
      </c>
      <c r="E24" s="1">
        <v>0.45925567129460182</v>
      </c>
      <c r="F24" s="1">
        <v>0.43873335330416374</v>
      </c>
      <c r="G24" s="1">
        <v>0.47932886306785621</v>
      </c>
      <c r="H24" s="1">
        <v>1.1998919319309971</v>
      </c>
      <c r="I24" s="1">
        <v>1.1548094551030526</v>
      </c>
      <c r="J24" s="1">
        <v>1.2431480144858129</v>
      </c>
      <c r="K24" s="2">
        <v>9.313310455502064</v>
      </c>
      <c r="L24" s="105">
        <v>9.2786790802245775</v>
      </c>
      <c r="M24" s="105">
        <v>9.3479418307795541</v>
      </c>
      <c r="N24" s="104">
        <v>0.45903110818600995</v>
      </c>
      <c r="O24" s="104">
        <v>0.43854189860568177</v>
      </c>
      <c r="P24" s="104">
        <v>0.47952031776633813</v>
      </c>
      <c r="Q24" s="104">
        <v>1.2323779005273054</v>
      </c>
      <c r="R24" s="104">
        <v>1.1817641253655826</v>
      </c>
      <c r="S24" s="104">
        <v>1.2826166573858411</v>
      </c>
    </row>
    <row r="25" spans="1:19" x14ac:dyDescent="0.25">
      <c r="A25">
        <f>Nursery!A20</f>
        <v>36</v>
      </c>
      <c r="B25" s="2">
        <v>9.9528868131199477</v>
      </c>
      <c r="C25" s="2">
        <v>9.8793185871359483</v>
      </c>
      <c r="D25" s="2">
        <v>10.026455039103947</v>
      </c>
      <c r="E25" s="1">
        <v>0.48597902017813938</v>
      </c>
      <c r="F25" s="1">
        <v>0.46426254151024809</v>
      </c>
      <c r="G25" s="1">
        <v>0.50722023869660671</v>
      </c>
      <c r="H25" s="1">
        <v>1.2165366998341602</v>
      </c>
      <c r="I25" s="1">
        <v>1.1708288438838688</v>
      </c>
      <c r="J25" s="1">
        <v>1.2603928259723742</v>
      </c>
      <c r="K25" s="2">
        <v>9.6857863884034909</v>
      </c>
      <c r="L25" s="105">
        <v>9.6497699681545335</v>
      </c>
      <c r="M25" s="105">
        <v>9.7218028086524519</v>
      </c>
      <c r="N25" s="104">
        <v>0.48574139010342737</v>
      </c>
      <c r="O25" s="104">
        <v>0.46405994637078146</v>
      </c>
      <c r="P25" s="104">
        <v>0.50742283383607334</v>
      </c>
      <c r="Q25" s="104">
        <v>1.2494733101866176</v>
      </c>
      <c r="R25" s="104">
        <v>1.1981574263450623</v>
      </c>
      <c r="S25" s="104">
        <v>1.300408973512645</v>
      </c>
    </row>
    <row r="26" spans="1:19" x14ac:dyDescent="0.25">
      <c r="A26">
        <f t="shared" ref="A26" si="8">A25+1</f>
        <v>37</v>
      </c>
      <c r="B26" s="2">
        <v>10.352364297230693</v>
      </c>
      <c r="C26" s="2">
        <v>10.275843274698477</v>
      </c>
      <c r="D26" s="2">
        <v>10.428885319762911</v>
      </c>
      <c r="E26" s="1">
        <v>0.51270236906167688</v>
      </c>
      <c r="F26" s="1">
        <v>0.48979172971633239</v>
      </c>
      <c r="G26" s="1">
        <v>0.53511161432535714</v>
      </c>
      <c r="H26" s="1">
        <v>1.2336143051138526</v>
      </c>
      <c r="I26" s="1">
        <v>1.1872648074258365</v>
      </c>
      <c r="J26" s="1">
        <v>1.278086078615104</v>
      </c>
      <c r="K26" s="2">
        <v>10.074543303932066</v>
      </c>
      <c r="L26" s="105">
        <v>10.037081298174312</v>
      </c>
      <c r="M26" s="105">
        <v>10.112005309689822</v>
      </c>
      <c r="N26" s="104">
        <v>0.51245167202084474</v>
      </c>
      <c r="O26" s="104">
        <v>0.4895779941358811</v>
      </c>
      <c r="P26" s="104">
        <v>0.53532534990580838</v>
      </c>
      <c r="Q26" s="104">
        <v>1.2670132758956612</v>
      </c>
      <c r="R26" s="104">
        <v>1.2149770254519812</v>
      </c>
      <c r="S26" s="104">
        <v>1.3186639683310126</v>
      </c>
    </row>
    <row r="27" spans="1:19" x14ac:dyDescent="0.25">
      <c r="A27">
        <f>Nursery!A22</f>
        <v>38</v>
      </c>
      <c r="B27" s="2">
        <v>10.767974238633212</v>
      </c>
      <c r="C27" s="2">
        <v>10.688381174123183</v>
      </c>
      <c r="D27" s="2">
        <v>10.847567303143238</v>
      </c>
      <c r="E27" s="1">
        <v>0.53942571794521432</v>
      </c>
      <c r="F27" s="1">
        <v>0.51532091792241674</v>
      </c>
      <c r="G27" s="1">
        <v>0.56300298995410758</v>
      </c>
      <c r="H27" s="1">
        <v>1.2511471609656128</v>
      </c>
      <c r="I27" s="1">
        <v>1.2041389168133194</v>
      </c>
      <c r="J27" s="1">
        <v>1.2962509936048254</v>
      </c>
      <c r="K27" s="2">
        <v>10.478999738422532</v>
      </c>
      <c r="L27" s="105">
        <v>10.440033768780705</v>
      </c>
      <c r="M27" s="105">
        <v>10.517965708064361</v>
      </c>
      <c r="N27" s="104">
        <v>0.53916195393826216</v>
      </c>
      <c r="O27" s="104">
        <v>0.51509604190098079</v>
      </c>
      <c r="P27" s="104">
        <v>0.56322786597554353</v>
      </c>
      <c r="Q27" s="104">
        <v>1.2850208176665789</v>
      </c>
      <c r="R27" s="104">
        <v>1.2322449972662912</v>
      </c>
      <c r="S27" s="104">
        <v>1.3374056002801602</v>
      </c>
    </row>
    <row r="28" spans="1:19" x14ac:dyDescent="0.25">
      <c r="A28">
        <f t="shared" ref="A28" si="9">A27+1</f>
        <v>39</v>
      </c>
      <c r="B28" s="2">
        <v>11.199119138909287</v>
      </c>
      <c r="C28" s="2">
        <v>11.116339203489249</v>
      </c>
      <c r="D28" s="2">
        <v>11.281899074329324</v>
      </c>
      <c r="E28" s="1">
        <v>0.56614906682875188</v>
      </c>
      <c r="F28" s="1">
        <v>0.54085010612850115</v>
      </c>
      <c r="G28" s="1">
        <v>0.59089436558285813</v>
      </c>
      <c r="H28" s="1">
        <v>1.2691581570283754</v>
      </c>
      <c r="I28" s="1">
        <v>1.2214732016731464</v>
      </c>
      <c r="J28" s="1">
        <v>1.3149112857515508</v>
      </c>
      <c r="K28" s="2">
        <v>10.898574228209636</v>
      </c>
      <c r="L28" s="105">
        <v>10.858048078470507</v>
      </c>
      <c r="M28" s="105">
        <v>10.939100377948769</v>
      </c>
      <c r="N28" s="104">
        <v>0.56587223585567958</v>
      </c>
      <c r="O28" s="104">
        <v>0.54061408966608049</v>
      </c>
      <c r="P28" s="104">
        <v>0.59113038204527868</v>
      </c>
      <c r="Q28" s="104">
        <v>1.3035194448542071</v>
      </c>
      <c r="R28" s="104">
        <v>1.2499838856133645</v>
      </c>
      <c r="S28" s="104">
        <v>1.3566583370904146</v>
      </c>
    </row>
    <row r="29" spans="1:19" x14ac:dyDescent="0.25">
      <c r="A29">
        <f>Nursery!A24</f>
        <v>40</v>
      </c>
      <c r="B29" s="2">
        <v>11.645201499640704</v>
      </c>
      <c r="C29" s="2">
        <v>11.559124280875848</v>
      </c>
      <c r="D29" s="2">
        <v>11.73127871840556</v>
      </c>
      <c r="E29" s="1">
        <v>0.58752774593558188</v>
      </c>
      <c r="F29" s="1">
        <v>0.56127345669336859</v>
      </c>
      <c r="G29" s="1">
        <v>0.61320746608585852</v>
      </c>
      <c r="H29" s="1">
        <v>1.2760626861068327</v>
      </c>
      <c r="I29" s="1">
        <v>1.2281183129958009</v>
      </c>
      <c r="J29" s="1">
        <v>1.3220647229790443</v>
      </c>
      <c r="K29" s="2">
        <v>11.332685309628118</v>
      </c>
      <c r="L29" s="105">
        <v>11.290544925740504</v>
      </c>
      <c r="M29" s="105">
        <v>11.374825693515737</v>
      </c>
      <c r="N29" s="104">
        <v>0.5872404613896135</v>
      </c>
      <c r="O29" s="104">
        <v>0.56102852787816015</v>
      </c>
      <c r="P29" s="104">
        <v>0.61345239490106684</v>
      </c>
      <c r="Q29" s="104">
        <v>1.3106109076963159</v>
      </c>
      <c r="R29" s="104">
        <v>1.2567841019914601</v>
      </c>
      <c r="S29" s="104">
        <v>1.3640388884315477</v>
      </c>
    </row>
    <row r="30" spans="1:19" x14ac:dyDescent="0.25">
      <c r="A30">
        <f t="shared" ref="A30" si="10">A29+1</f>
        <v>41</v>
      </c>
      <c r="B30" s="2">
        <v>12.105623822409253</v>
      </c>
      <c r="C30" s="2">
        <v>12.016143324362163</v>
      </c>
      <c r="D30" s="2">
        <v>12.195104320456345</v>
      </c>
      <c r="E30" s="1">
        <v>0.60890642504241188</v>
      </c>
      <c r="F30" s="1">
        <v>0.58169680725823603</v>
      </c>
      <c r="G30" s="1">
        <v>0.63552056658885892</v>
      </c>
      <c r="H30" s="1">
        <v>1.2841662698774083</v>
      </c>
      <c r="I30" s="1">
        <v>1.2359174279906215</v>
      </c>
      <c r="J30" s="1">
        <v>1.3304604407987393</v>
      </c>
      <c r="K30" s="2">
        <v>11.78075151901273</v>
      </c>
      <c r="L30" s="105">
        <v>11.736945009087494</v>
      </c>
      <c r="M30" s="105">
        <v>11.82455802893797</v>
      </c>
      <c r="N30" s="104">
        <v>0.60860868692354742</v>
      </c>
      <c r="O30" s="104">
        <v>0.58144296609023993</v>
      </c>
      <c r="P30" s="104">
        <v>0.6357744077568549</v>
      </c>
      <c r="Q30" s="104">
        <v>1.3189338885316537</v>
      </c>
      <c r="R30" s="104">
        <v>1.2647652579040252</v>
      </c>
      <c r="S30" s="104">
        <v>1.3727011614680451</v>
      </c>
    </row>
    <row r="31" spans="1:19" x14ac:dyDescent="0.25">
      <c r="A31">
        <f>Nursery!A26</f>
        <v>42</v>
      </c>
      <c r="B31" s="2">
        <v>12.57978860879672</v>
      </c>
      <c r="C31" s="2">
        <v>12.486803252027372</v>
      </c>
      <c r="D31" s="2">
        <v>12.672773965566067</v>
      </c>
      <c r="E31" s="1">
        <v>0.63028510414924188</v>
      </c>
      <c r="F31" s="1">
        <v>0.60212015782310346</v>
      </c>
      <c r="G31" s="1">
        <v>0.6578336670918592</v>
      </c>
      <c r="H31" s="1">
        <v>1.3001409570504183</v>
      </c>
      <c r="I31" s="1">
        <v>1.2512919123910728</v>
      </c>
      <c r="J31" s="1">
        <v>1.347011015156871</v>
      </c>
      <c r="K31" s="2">
        <v>12.242191392698212</v>
      </c>
      <c r="L31" s="105">
        <v>12.196669027008266</v>
      </c>
      <c r="M31" s="105">
        <v>12.287713758388159</v>
      </c>
      <c r="N31" s="104">
        <v>0.62997691245748133</v>
      </c>
      <c r="O31" s="104">
        <v>0.60185740430231971</v>
      </c>
      <c r="P31" s="104">
        <v>0.65809642061264295</v>
      </c>
      <c r="Q31" s="104">
        <v>1.3353410756423831</v>
      </c>
      <c r="R31" s="104">
        <v>1.2804986016432454</v>
      </c>
      <c r="S31" s="104">
        <v>1.3897771991672423</v>
      </c>
    </row>
    <row r="32" spans="1:19" x14ac:dyDescent="0.25">
      <c r="A32">
        <f t="shared" ref="A32" si="11">A31+1</f>
        <v>43</v>
      </c>
      <c r="B32" s="2">
        <v>13.064570740096658</v>
      </c>
      <c r="C32" s="2">
        <v>12.968002044939348</v>
      </c>
      <c r="D32" s="2">
        <v>13.161139435253967</v>
      </c>
      <c r="E32" s="1">
        <v>0.65166378325607188</v>
      </c>
      <c r="F32" s="1">
        <v>0.6225435083879709</v>
      </c>
      <c r="G32" s="1">
        <v>0.68014676759485959</v>
      </c>
      <c r="H32" s="1">
        <v>1.3147999418271743</v>
      </c>
      <c r="I32" s="1">
        <v>1.2654001281161078</v>
      </c>
      <c r="J32" s="1">
        <v>1.3621984560710532</v>
      </c>
      <c r="K32" s="2">
        <v>12.713963679156503</v>
      </c>
      <c r="L32" s="105">
        <v>12.666687036813169</v>
      </c>
      <c r="M32" s="105">
        <v>12.761240321499841</v>
      </c>
      <c r="N32" s="104">
        <v>0.65134513799141525</v>
      </c>
      <c r="O32" s="104">
        <v>0.62227184251439938</v>
      </c>
      <c r="P32" s="104">
        <v>0.68041843346843112</v>
      </c>
      <c r="Q32" s="104">
        <v>1.350396938926647</v>
      </c>
      <c r="R32" s="104">
        <v>1.294936120441776</v>
      </c>
      <c r="S32" s="104">
        <v>1.4054468253683123</v>
      </c>
    </row>
    <row r="33" spans="1:19" x14ac:dyDescent="0.25">
      <c r="A33">
        <f>Nursery!A28</f>
        <v>44</v>
      </c>
      <c r="B33" s="2">
        <v>13.560207956470775</v>
      </c>
      <c r="C33" s="2">
        <v>13.459975685968448</v>
      </c>
      <c r="D33" s="2">
        <v>13.660440226973101</v>
      </c>
      <c r="E33" s="1">
        <v>0.67304246236290188</v>
      </c>
      <c r="F33" s="1">
        <v>0.64296685895283845</v>
      </c>
      <c r="G33" s="1">
        <v>0.70245986809785999</v>
      </c>
      <c r="H33" s="1">
        <v>1.3281931928084278</v>
      </c>
      <c r="I33" s="1">
        <v>1.2782901663404878</v>
      </c>
      <c r="J33" s="1">
        <v>1.3760745335091771</v>
      </c>
      <c r="K33" s="2">
        <v>13.19629973844077</v>
      </c>
      <c r="L33" s="105">
        <v>13.147229538247222</v>
      </c>
      <c r="M33" s="105">
        <v>13.245369938634321</v>
      </c>
      <c r="N33" s="104">
        <v>0.67271336352534916</v>
      </c>
      <c r="O33" s="104">
        <v>0.64268628072647915</v>
      </c>
      <c r="P33" s="104">
        <v>0.70274044632421917</v>
      </c>
      <c r="Q33" s="104">
        <v>1.3641527998390106</v>
      </c>
      <c r="R33" s="104">
        <v>1.3081270279814134</v>
      </c>
      <c r="S33" s="104">
        <v>1.4197634536812125</v>
      </c>
    </row>
    <row r="34" spans="1:19" x14ac:dyDescent="0.25">
      <c r="A34">
        <f t="shared" ref="A34" si="12">A33+1</f>
        <v>45</v>
      </c>
      <c r="B34" s="2">
        <v>14.066943321481773</v>
      </c>
      <c r="C34" s="2">
        <v>13.962965442037319</v>
      </c>
      <c r="D34" s="2">
        <v>14.170921200926228</v>
      </c>
      <c r="E34" s="1">
        <v>0.69442114146973188</v>
      </c>
      <c r="F34" s="1">
        <v>0.66339020951770589</v>
      </c>
      <c r="G34" s="1">
        <v>0.72477296860086038</v>
      </c>
      <c r="H34" s="1">
        <v>1.3403691209404567</v>
      </c>
      <c r="I34" s="1">
        <v>1.2900086191088951</v>
      </c>
      <c r="J34" s="1">
        <v>1.3886894036312734</v>
      </c>
      <c r="K34" s="2">
        <v>13.689436111143841</v>
      </c>
      <c r="L34" s="105">
        <v>13.638532192331372</v>
      </c>
      <c r="M34" s="105">
        <v>13.740340029956315</v>
      </c>
      <c r="N34" s="104">
        <v>0.69408158905928308</v>
      </c>
      <c r="O34" s="104">
        <v>0.66310071893855882</v>
      </c>
      <c r="P34" s="104">
        <v>0.72506245918000733</v>
      </c>
      <c r="Q34" s="104">
        <v>1.3766583800075332</v>
      </c>
      <c r="R34" s="104">
        <v>1.3201190038223665</v>
      </c>
      <c r="S34" s="104">
        <v>1.4327788326713367</v>
      </c>
    </row>
    <row r="35" spans="1:19" x14ac:dyDescent="0.25">
      <c r="A35">
        <f>Nursery!A30</f>
        <v>46</v>
      </c>
      <c r="B35" s="2">
        <v>14.585025341293225</v>
      </c>
      <c r="C35" s="2">
        <v>14.477217982439692</v>
      </c>
      <c r="D35" s="2">
        <v>14.692832700146758</v>
      </c>
      <c r="E35" s="1">
        <v>0.7190066224425864</v>
      </c>
      <c r="F35" s="1">
        <v>0.68687706266730342</v>
      </c>
      <c r="G35" s="1">
        <v>0.75043303417931084</v>
      </c>
      <c r="H35" s="1">
        <v>1.3574288173377884</v>
      </c>
      <c r="I35" s="1">
        <v>1.3064273466430658</v>
      </c>
      <c r="J35" s="1">
        <v>1.4063641017767465</v>
      </c>
      <c r="K35" s="2">
        <v>14.193614634399179</v>
      </c>
      <c r="L35" s="105">
        <v>14.140835936932101</v>
      </c>
      <c r="M35" s="105">
        <v>14.24639333186626</v>
      </c>
      <c r="N35" s="104">
        <v>0.71865504842330707</v>
      </c>
      <c r="O35" s="104">
        <v>0.68657732288245055</v>
      </c>
      <c r="P35" s="104">
        <v>0.7507327739641636</v>
      </c>
      <c r="Q35" s="104">
        <v>1.3941799519677152</v>
      </c>
      <c r="R35" s="104">
        <v>1.3369209646119038</v>
      </c>
      <c r="S35" s="104">
        <v>1.4510146839066607</v>
      </c>
    </row>
    <row r="36" spans="1:19" x14ac:dyDescent="0.25">
      <c r="A36">
        <f t="shared" ref="A36" si="13">A35+1</f>
        <v>47</v>
      </c>
      <c r="B36" s="2">
        <v>15.114708086538544</v>
      </c>
      <c r="C36" s="2">
        <v>15.002985499808545</v>
      </c>
      <c r="D36" s="2">
        <v>15.226430673268542</v>
      </c>
      <c r="E36" s="1">
        <v>0.74359210341544091</v>
      </c>
      <c r="F36" s="1">
        <v>0.71036391581690095</v>
      </c>
      <c r="G36" s="1">
        <v>0.7760930997577612</v>
      </c>
      <c r="H36" s="1">
        <v>1.3730983265977152</v>
      </c>
      <c r="I36" s="1">
        <v>1.3215081193098732</v>
      </c>
      <c r="J36" s="1">
        <v>1.4225984965635314</v>
      </c>
      <c r="K36" s="2">
        <v>14.709082560479319</v>
      </c>
      <c r="L36" s="105">
        <v>14.654387104918877</v>
      </c>
      <c r="M36" s="105">
        <v>14.763778016039764</v>
      </c>
      <c r="N36" s="104">
        <v>0.74322850778733107</v>
      </c>
      <c r="O36" s="104">
        <v>0.71005392682634227</v>
      </c>
      <c r="P36" s="104">
        <v>0.77640308874831987</v>
      </c>
      <c r="Q36" s="104">
        <v>1.4102736987545346</v>
      </c>
      <c r="R36" s="104">
        <v>1.3523537410250808</v>
      </c>
      <c r="S36" s="104">
        <v>1.4677645036654332</v>
      </c>
    </row>
    <row r="37" spans="1:19" x14ac:dyDescent="0.25">
      <c r="A37">
        <f>Nursery!A32</f>
        <v>48</v>
      </c>
      <c r="B37" s="2">
        <v>15.656251316918793</v>
      </c>
      <c r="C37" s="2">
        <v>15.540525833792927</v>
      </c>
      <c r="D37" s="2">
        <v>15.771976800044659</v>
      </c>
      <c r="E37" s="1">
        <v>0.76817758438829542</v>
      </c>
      <c r="F37" s="1">
        <v>0.73385076896649859</v>
      </c>
      <c r="G37" s="1">
        <v>0.80175316533621166</v>
      </c>
      <c r="H37" s="1">
        <v>1.3874303595003263</v>
      </c>
      <c r="I37" s="1">
        <v>1.3353016674339531</v>
      </c>
      <c r="J37" s="1">
        <v>1.4374471989943844</v>
      </c>
      <c r="K37" s="2">
        <v>15.236092678049904</v>
      </c>
      <c r="L37" s="105">
        <v>15.179437544967294</v>
      </c>
      <c r="M37" s="105">
        <v>15.292747811132516</v>
      </c>
      <c r="N37" s="104">
        <v>0.76780196715135507</v>
      </c>
      <c r="O37" s="104">
        <v>0.73353053077023389</v>
      </c>
      <c r="P37" s="104">
        <v>0.80207340353247625</v>
      </c>
      <c r="Q37" s="104">
        <v>1.4249937582438741</v>
      </c>
      <c r="R37" s="104">
        <v>1.3664692474945694</v>
      </c>
      <c r="S37" s="104">
        <v>1.4830846367923411</v>
      </c>
    </row>
    <row r="38" spans="1:19" x14ac:dyDescent="0.25">
      <c r="A38">
        <f t="shared" ref="A38" si="14">A37+1</f>
        <v>49</v>
      </c>
      <c r="B38" s="2">
        <v>16.209920608590448</v>
      </c>
      <c r="C38" s="2">
        <v>16.09010259750411</v>
      </c>
      <c r="D38" s="2">
        <v>16.329738619676785</v>
      </c>
      <c r="E38" s="1">
        <v>0.79276306536114982</v>
      </c>
      <c r="F38" s="1">
        <v>0.75733762211609612</v>
      </c>
      <c r="G38" s="1">
        <v>0.82741323091466212</v>
      </c>
      <c r="H38" s="1">
        <v>1.4004759847845585</v>
      </c>
      <c r="I38" s="1">
        <v>1.3478571409937417</v>
      </c>
      <c r="J38" s="1">
        <v>1.4509631188353649</v>
      </c>
      <c r="K38" s="2">
        <v>15.774903436138819</v>
      </c>
      <c r="L38" s="105">
        <v>15.716244745067236</v>
      </c>
      <c r="M38" s="105">
        <v>15.833562127210406</v>
      </c>
      <c r="N38" s="104">
        <v>0.79237542651537907</v>
      </c>
      <c r="O38" s="104">
        <v>0.75700713471412562</v>
      </c>
      <c r="P38" s="104">
        <v>0.82774371831663252</v>
      </c>
      <c r="Q38" s="104">
        <v>1.4383925818137455</v>
      </c>
      <c r="R38" s="104">
        <v>1.3793177812196606</v>
      </c>
      <c r="S38" s="104">
        <v>1.4970296728829207</v>
      </c>
    </row>
    <row r="39" spans="1:19" x14ac:dyDescent="0.25">
      <c r="A39">
        <f>Nursery!A34</f>
        <v>50</v>
      </c>
      <c r="B39" s="2">
        <v>16.775987484405604</v>
      </c>
      <c r="C39" s="2">
        <v>16.651985306793115</v>
      </c>
      <c r="D39" s="2">
        <v>16.899989662018093</v>
      </c>
      <c r="E39" s="1">
        <v>0.81734854633400433</v>
      </c>
      <c r="F39" s="1">
        <v>0.78082447526569376</v>
      </c>
      <c r="G39" s="1">
        <v>0.85307329649311248</v>
      </c>
      <c r="H39" s="1">
        <v>1.4122846757903007</v>
      </c>
      <c r="I39" s="1">
        <v>1.3592221545111478</v>
      </c>
      <c r="J39" s="1">
        <v>1.4631975129393733</v>
      </c>
      <c r="K39" s="2">
        <v>16.3257790708812</v>
      </c>
      <c r="L39" s="105">
        <v>16.265071958796579</v>
      </c>
      <c r="M39" s="105">
        <v>16.386486182965825</v>
      </c>
      <c r="N39" s="104">
        <v>0.81694888587940306</v>
      </c>
      <c r="O39" s="104">
        <v>0.78048373865801735</v>
      </c>
      <c r="P39" s="104">
        <v>0.85341403310078878</v>
      </c>
      <c r="Q39" s="104">
        <v>1.4505209822491163</v>
      </c>
      <c r="R39" s="104">
        <v>1.3909480681036193</v>
      </c>
      <c r="S39" s="104">
        <v>1.5096524961412758</v>
      </c>
    </row>
    <row r="40" spans="1:19" x14ac:dyDescent="0.25">
      <c r="A40">
        <f t="shared" ref="A40" si="15">A39+1</f>
        <v>51</v>
      </c>
      <c r="B40" s="2">
        <v>17.354729547068448</v>
      </c>
      <c r="C40" s="2">
        <v>17.226449512422931</v>
      </c>
      <c r="D40" s="2">
        <v>17.483009581713965</v>
      </c>
      <c r="E40" s="1">
        <v>0.84193402730685885</v>
      </c>
      <c r="F40" s="1">
        <v>0.80431132841529129</v>
      </c>
      <c r="G40" s="1">
        <v>0.87873336207156294</v>
      </c>
      <c r="H40" s="1">
        <v>1.4229043558449148</v>
      </c>
      <c r="I40" s="1">
        <v>1.3694428307327922</v>
      </c>
      <c r="J40" s="1">
        <v>1.4742000322688684</v>
      </c>
      <c r="K40" s="2">
        <v>16.888989735102463</v>
      </c>
      <c r="L40" s="105">
        <v>16.826188334422383</v>
      </c>
      <c r="M40" s="105">
        <v>16.951791135782546</v>
      </c>
      <c r="N40" s="104">
        <v>0.84152234524342706</v>
      </c>
      <c r="O40" s="104">
        <v>0.80396034260190896</v>
      </c>
      <c r="P40" s="104">
        <v>0.87908434788494516</v>
      </c>
      <c r="Q40" s="104">
        <v>1.461428180357293</v>
      </c>
      <c r="R40" s="104">
        <v>1.4014073074546201</v>
      </c>
      <c r="S40" s="104">
        <v>1.5210043338957249</v>
      </c>
    </row>
    <row r="41" spans="1:19" x14ac:dyDescent="0.25">
      <c r="A41">
        <f>Nursery!A36</f>
        <v>52</v>
      </c>
      <c r="B41" s="2">
        <v>17.946430615273361</v>
      </c>
      <c r="C41" s="2">
        <v>17.813776935200341</v>
      </c>
      <c r="D41" s="2">
        <v>18.07908429534638</v>
      </c>
      <c r="E41" s="1">
        <v>0.86651950827971336</v>
      </c>
      <c r="F41" s="1">
        <v>0.82779818156488882</v>
      </c>
      <c r="G41" s="1">
        <v>0.9043934276500134</v>
      </c>
      <c r="H41" s="1">
        <v>1.4323814424271448</v>
      </c>
      <c r="I41" s="1">
        <v>1.3785638431346214</v>
      </c>
      <c r="J41" s="1">
        <v>1.4840187676518468</v>
      </c>
      <c r="K41" s="2">
        <v>17.464811630802934</v>
      </c>
      <c r="L41" s="105">
        <v>17.399869046892867</v>
      </c>
      <c r="M41" s="105">
        <v>17.529754214713005</v>
      </c>
      <c r="N41" s="104">
        <v>0.86609580460745106</v>
      </c>
      <c r="O41" s="104">
        <v>0.82743694654580069</v>
      </c>
      <c r="P41" s="104">
        <v>0.90475466266910143</v>
      </c>
      <c r="Q41" s="104">
        <v>1.4711618503275001</v>
      </c>
      <c r="R41" s="104">
        <v>1.4107412154823675</v>
      </c>
      <c r="S41" s="104">
        <v>1.531134803807535</v>
      </c>
    </row>
    <row r="42" spans="1:19" x14ac:dyDescent="0.25">
      <c r="A42">
        <f t="shared" ref="A42" si="16">A41+1</f>
        <v>53</v>
      </c>
      <c r="B42" s="2">
        <v>18.551380862891349</v>
      </c>
      <c r="C42" s="2">
        <v>18.414255604133523</v>
      </c>
      <c r="D42" s="2">
        <v>18.688506121649176</v>
      </c>
      <c r="E42" s="1">
        <v>0.89110498925256787</v>
      </c>
      <c r="F42" s="1">
        <v>0.85128503471448647</v>
      </c>
      <c r="G42" s="1">
        <v>0.93005349322846376</v>
      </c>
      <c r="H42" s="1">
        <v>1.4407608901398925</v>
      </c>
      <c r="I42" s="1">
        <v>1.3866284572800323</v>
      </c>
      <c r="J42" s="1">
        <v>1.4927002943038545</v>
      </c>
      <c r="K42" s="2">
        <v>18.05352714460901</v>
      </c>
      <c r="L42" s="105">
        <v>17.986395432784896</v>
      </c>
      <c r="M42" s="105">
        <v>18.120658856433128</v>
      </c>
      <c r="N42" s="104">
        <v>0.89066926397147506</v>
      </c>
      <c r="O42" s="104">
        <v>0.85091355048969231</v>
      </c>
      <c r="P42" s="104">
        <v>0.93042497745325781</v>
      </c>
      <c r="Q42" s="104">
        <v>1.4797681638670763</v>
      </c>
      <c r="R42" s="104">
        <v>1.4189940676215931</v>
      </c>
      <c r="S42" s="104">
        <v>1.5400919598063816</v>
      </c>
    </row>
    <row r="43" spans="1:19" x14ac:dyDescent="0.25">
      <c r="A43">
        <f>Nursery!A38</f>
        <v>54</v>
      </c>
      <c r="B43" s="2">
        <v>19.169876961273118</v>
      </c>
      <c r="C43" s="2">
        <v>19.028179997683285</v>
      </c>
      <c r="D43" s="2">
        <v>19.311573924862955</v>
      </c>
      <c r="E43" s="1">
        <v>0.91782833813610543</v>
      </c>
      <c r="F43" s="1">
        <v>0.87681422292057076</v>
      </c>
      <c r="G43" s="1">
        <v>0.9579448688572143</v>
      </c>
      <c r="H43" s="1">
        <v>1.4514670879420213</v>
      </c>
      <c r="I43" s="1">
        <v>1.3969324005945076</v>
      </c>
      <c r="J43" s="1">
        <v>1.5037924503441051</v>
      </c>
      <c r="K43" s="2">
        <v>18.655424986257319</v>
      </c>
      <c r="L43" s="105">
        <v>18.586055128273212</v>
      </c>
      <c r="M43" s="105">
        <v>18.724794844241433</v>
      </c>
      <c r="N43" s="104">
        <v>0.91737954588889248</v>
      </c>
      <c r="O43" s="104">
        <v>0.876431598254792</v>
      </c>
      <c r="P43" s="104">
        <v>0.95832749352299296</v>
      </c>
      <c r="Q43" s="104">
        <v>1.4907642221110808</v>
      </c>
      <c r="R43" s="104">
        <v>1.4295385176215871</v>
      </c>
      <c r="S43" s="104">
        <v>1.5515362801429593</v>
      </c>
    </row>
    <row r="44" spans="1:19" x14ac:dyDescent="0.25">
      <c r="A44">
        <f t="shared" ref="A44" si="17">A43+1</f>
        <v>55</v>
      </c>
      <c r="B44" s="2">
        <v>19.802222224738554</v>
      </c>
      <c r="C44" s="2">
        <v>19.655851188177124</v>
      </c>
      <c r="D44" s="2">
        <v>19.948593261299983</v>
      </c>
      <c r="E44" s="1">
        <v>0.94455168701964287</v>
      </c>
      <c r="F44" s="1">
        <v>0.90234341112665517</v>
      </c>
      <c r="G44" s="1">
        <v>0.98583624448596474</v>
      </c>
      <c r="H44" s="1">
        <v>1.4610132435118046</v>
      </c>
      <c r="I44" s="1">
        <v>1.4061198869159801</v>
      </c>
      <c r="J44" s="1">
        <v>1.5136827446504026</v>
      </c>
      <c r="K44" s="2">
        <v>19.270800330179771</v>
      </c>
      <c r="L44" s="105">
        <v>19.199142210188967</v>
      </c>
      <c r="M44" s="105">
        <v>19.342458450170579</v>
      </c>
      <c r="N44" s="104">
        <v>0.9440898278063099</v>
      </c>
      <c r="O44" s="104">
        <v>0.90194964601989169</v>
      </c>
      <c r="P44" s="104">
        <v>0.98623000959272811</v>
      </c>
      <c r="Q44" s="104">
        <v>1.5005688310480396</v>
      </c>
      <c r="R44" s="104">
        <v>1.4389404511518566</v>
      </c>
      <c r="S44" s="104">
        <v>1.5617405808986782</v>
      </c>
    </row>
    <row r="45" spans="1:19" x14ac:dyDescent="0.25">
      <c r="A45">
        <f>Nursery!A40</f>
        <v>56</v>
      </c>
      <c r="B45" s="2">
        <v>20.448726759323911</v>
      </c>
      <c r="C45" s="2">
        <v>20.29757698945695</v>
      </c>
      <c r="D45" s="2">
        <v>20.599876529190873</v>
      </c>
      <c r="E45" s="1">
        <v>0.97661970567988787</v>
      </c>
      <c r="F45" s="1">
        <v>0.93297843697395622</v>
      </c>
      <c r="G45" s="1">
        <v>1.0193058952404652</v>
      </c>
      <c r="H45" s="1">
        <v>1.4775310018444356</v>
      </c>
      <c r="I45" s="1">
        <v>1.4220170381443715</v>
      </c>
      <c r="J45" s="1">
        <v>1.530795967873694</v>
      </c>
      <c r="K45" s="2">
        <v>19.899954960258906</v>
      </c>
      <c r="L45" s="105">
        <v>19.825957340236837</v>
      </c>
      <c r="M45" s="105">
        <v>19.973952580280983</v>
      </c>
      <c r="N45" s="104">
        <v>0.97614216610721072</v>
      </c>
      <c r="O45" s="104">
        <v>0.9325713033380113</v>
      </c>
      <c r="P45" s="104">
        <v>1.0197130288764102</v>
      </c>
      <c r="Q45" s="104">
        <v>1.5175337924697105</v>
      </c>
      <c r="R45" s="104">
        <v>1.4552086614043858</v>
      </c>
      <c r="S45" s="104">
        <v>1.57939713097317</v>
      </c>
    </row>
    <row r="46" spans="1:19" x14ac:dyDescent="0.25">
      <c r="A46">
        <f t="shared" ref="A46" si="18">A45+1</f>
        <v>57</v>
      </c>
      <c r="B46" s="2">
        <v>21.109707614859769</v>
      </c>
      <c r="C46" s="2">
        <v>20.953672107832904</v>
      </c>
      <c r="D46" s="2">
        <v>21.265743121886633</v>
      </c>
      <c r="E46" s="1">
        <v>1.0086877243401329</v>
      </c>
      <c r="F46" s="1">
        <v>0.96361346282125737</v>
      </c>
      <c r="G46" s="1">
        <v>1.0527755459949657</v>
      </c>
      <c r="H46" s="1">
        <v>1.4926244424597517</v>
      </c>
      <c r="I46" s="1">
        <v>1.4365433862835366</v>
      </c>
      <c r="J46" s="1">
        <v>1.5464335267516018</v>
      </c>
      <c r="K46" s="2">
        <v>20.543197417824604</v>
      </c>
      <c r="L46" s="105">
        <v>20.466807912441382</v>
      </c>
      <c r="M46" s="105">
        <v>20.61958692320783</v>
      </c>
      <c r="N46" s="104">
        <v>1.0081945044081115</v>
      </c>
      <c r="O46" s="104">
        <v>0.9631929606561308</v>
      </c>
      <c r="P46" s="104">
        <v>1.0531960481600922</v>
      </c>
      <c r="Q46" s="104">
        <v>1.533035874084097</v>
      </c>
      <c r="R46" s="104">
        <v>1.4700740723408572</v>
      </c>
      <c r="S46" s="104">
        <v>1.5955311659102174</v>
      </c>
    </row>
    <row r="47" spans="1:19" x14ac:dyDescent="0.25">
      <c r="A47">
        <f>Nursery!A42</f>
        <v>58</v>
      </c>
      <c r="B47" s="2">
        <v>21.785488940454222</v>
      </c>
      <c r="C47" s="2">
        <v>21.624458296417302</v>
      </c>
      <c r="D47" s="2">
        <v>21.946519584491138</v>
      </c>
      <c r="E47" s="1">
        <v>1.040755743000378</v>
      </c>
      <c r="F47" s="1">
        <v>0.99424848866855875</v>
      </c>
      <c r="G47" s="1">
        <v>1.0862451967494666</v>
      </c>
      <c r="H47" s="1">
        <v>1.5063480310931221</v>
      </c>
      <c r="I47" s="1">
        <v>1.4497513506760085</v>
      </c>
      <c r="J47" s="1">
        <v>1.5606518505082523</v>
      </c>
      <c r="K47" s="2">
        <v>21.200843152964659</v>
      </c>
      <c r="L47" s="105">
        <v>21.122008203894996</v>
      </c>
      <c r="M47" s="105">
        <v>21.279678102034328</v>
      </c>
      <c r="N47" s="104">
        <v>1.0402468427090126</v>
      </c>
      <c r="O47" s="104">
        <v>0.99381461797425064</v>
      </c>
      <c r="P47" s="104">
        <v>1.0866790674437745</v>
      </c>
      <c r="Q47" s="104">
        <v>1.5471310162361669</v>
      </c>
      <c r="R47" s="104">
        <v>1.4835903268356208</v>
      </c>
      <c r="S47" s="104">
        <v>1.6102009065025686</v>
      </c>
    </row>
    <row r="48" spans="1:19" x14ac:dyDescent="0.25">
      <c r="A48">
        <f>A47+1</f>
        <v>59</v>
      </c>
      <c r="B48" s="2">
        <v>22.476402143457598</v>
      </c>
      <c r="C48" s="2">
        <v>22.310264512914323</v>
      </c>
      <c r="D48" s="2">
        <v>22.64253977400087</v>
      </c>
      <c r="E48" s="1">
        <v>1.0664101579285739</v>
      </c>
      <c r="F48" s="1">
        <v>1.0187565093463997</v>
      </c>
      <c r="G48" s="1">
        <v>1.113020917353067</v>
      </c>
      <c r="H48" s="1">
        <v>1.5105211784090544</v>
      </c>
      <c r="I48" s="1">
        <v>1.4537677040239403</v>
      </c>
      <c r="J48" s="1">
        <v>1.564975439709831</v>
      </c>
      <c r="K48" s="2">
        <v>21.873214679223441</v>
      </c>
      <c r="L48" s="105">
        <v>21.791879528881307</v>
      </c>
      <c r="M48" s="105">
        <v>21.954549829565579</v>
      </c>
      <c r="N48" s="104">
        <v>1.0658887133497332</v>
      </c>
      <c r="O48" s="104">
        <v>1.0183119438287462</v>
      </c>
      <c r="P48" s="104">
        <v>1.1134654828707202</v>
      </c>
      <c r="Q48" s="104">
        <v>1.5514171476709568</v>
      </c>
      <c r="R48" s="104">
        <v>1.4877004268009526</v>
      </c>
      <c r="S48" s="104">
        <v>1.6146617651171604</v>
      </c>
    </row>
    <row r="49" spans="1:19" x14ac:dyDescent="0.25">
      <c r="A49" s="107">
        <v>60</v>
      </c>
      <c r="B49" s="108">
        <f>AVERAGE(C49:D49)</f>
        <v>23.182390363398852</v>
      </c>
      <c r="C49" s="108">
        <f>C6</f>
        <v>23.011034317145455</v>
      </c>
      <c r="D49" s="108">
        <f>D6</f>
        <v>23.353746409652249</v>
      </c>
      <c r="E49" s="109">
        <f>AVERAGE(F49:G49)</f>
        <v>1.0914141023729547</v>
      </c>
      <c r="F49" s="109">
        <f>F6</f>
        <v>1.0431531990714307</v>
      </c>
      <c r="G49" s="109">
        <f>G6</f>
        <v>1.1396750056744787</v>
      </c>
      <c r="H49" s="109">
        <f>AVERAGE(I49:J49)</f>
        <v>1.568665723318023</v>
      </c>
      <c r="I49" s="109">
        <f>I6</f>
        <v>1.4604948870488661</v>
      </c>
      <c r="J49" s="109">
        <f>J6</f>
        <v>1.6768365595871799</v>
      </c>
      <c r="K49" s="108">
        <f>AVERAGE(L49:M49)</f>
        <v>22.560256662064667</v>
      </c>
      <c r="L49" s="108">
        <f>L6</f>
        <v>22.476366758624497</v>
      </c>
      <c r="M49" s="108">
        <f>M6</f>
        <v>22.64414656550484</v>
      </c>
      <c r="N49" s="109">
        <f t="shared" ref="N49" si="19">N6</f>
        <v>1.0908804315684135</v>
      </c>
      <c r="O49" s="109">
        <f>O6</f>
        <v>1.0421881373188768</v>
      </c>
      <c r="P49" s="109">
        <f>P6</f>
        <v>1.1395727258179502</v>
      </c>
      <c r="Q49" s="109">
        <f t="shared" ref="Q49" si="20">Q6</f>
        <v>1.568665723318023</v>
      </c>
      <c r="R49" s="109">
        <f>R6</f>
        <v>1.4604948870488661</v>
      </c>
      <c r="S49" s="109">
        <f>S6</f>
        <v>1.6768365595871799</v>
      </c>
    </row>
    <row r="50" spans="1:19" x14ac:dyDescent="0.25">
      <c r="A50">
        <v>61</v>
      </c>
      <c r="B50" s="1">
        <f>'800'!D49</f>
        <v>23.90041634421447</v>
      </c>
      <c r="C50" s="1">
        <f>'800'!B49</f>
        <v>23.745423475592798</v>
      </c>
      <c r="D50" s="1">
        <f>'800'!C49</f>
        <v>24.055409212836143</v>
      </c>
      <c r="E50" s="1">
        <f>'800'!G47</f>
        <v>1.0399636590309171</v>
      </c>
      <c r="F50" s="1">
        <f>'800'!E49</f>
        <v>1.1179919749289275</v>
      </c>
      <c r="G50" s="1">
        <f>'800'!F49</f>
        <v>1.0681712468689386</v>
      </c>
      <c r="H50" s="1">
        <f>'800'!J49</f>
        <v>1.5223427008271804</v>
      </c>
      <c r="I50" s="1">
        <f>'800'!I49</f>
        <v>1.5223427008271804</v>
      </c>
      <c r="J50" s="1">
        <f>'800'!H49</f>
        <v>1.5223427008271804</v>
      </c>
      <c r="K50" s="1">
        <v>21.472576287506378</v>
      </c>
      <c r="L50" s="1">
        <v>22.080784155972154</v>
      </c>
      <c r="M50" s="1">
        <v>21.776680221739266</v>
      </c>
      <c r="N50" s="1">
        <v>1.0380484674603809</v>
      </c>
      <c r="O50" s="1">
        <v>1.0068489235846532</v>
      </c>
      <c r="P50" s="1">
        <v>1.0224486955225172</v>
      </c>
      <c r="Q50" s="1">
        <v>1.5540789323149</v>
      </c>
      <c r="R50" s="1">
        <v>1.5540789323149</v>
      </c>
      <c r="S50" s="1">
        <v>1.5540789323149</v>
      </c>
    </row>
    <row r="52" spans="1:19" x14ac:dyDescent="0.25">
      <c r="A52" t="s">
        <v>16</v>
      </c>
      <c r="B52" s="115">
        <f>B47-B46</f>
        <v>0.67578132559445336</v>
      </c>
      <c r="C52" s="115">
        <f t="shared" ref="C52:S52" si="21">C47-C46</f>
        <v>0.67078618858439754</v>
      </c>
      <c r="D52" s="115">
        <f t="shared" si="21"/>
        <v>0.68077646260450564</v>
      </c>
      <c r="E52" s="30">
        <f t="shared" si="21"/>
        <v>3.2068018660245112E-2</v>
      </c>
      <c r="F52" s="30">
        <f t="shared" si="21"/>
        <v>3.0635025847301378E-2</v>
      </c>
      <c r="G52" s="30">
        <f t="shared" si="21"/>
        <v>3.3469650754500924E-2</v>
      </c>
      <c r="H52" s="30">
        <f t="shared" si="21"/>
        <v>1.372358863337042E-2</v>
      </c>
      <c r="I52" s="30">
        <f t="shared" si="21"/>
        <v>1.3207964392471849E-2</v>
      </c>
      <c r="J52" s="30">
        <f t="shared" si="21"/>
        <v>1.4218323756650442E-2</v>
      </c>
      <c r="K52" s="30">
        <f t="shared" si="21"/>
        <v>0.6576457351400542</v>
      </c>
      <c r="L52" s="30">
        <f t="shared" si="21"/>
        <v>0.65520029145361391</v>
      </c>
      <c r="M52" s="30">
        <f t="shared" si="21"/>
        <v>0.66009117882649804</v>
      </c>
      <c r="N52" s="30">
        <f t="shared" si="21"/>
        <v>3.205233830090104E-2</v>
      </c>
      <c r="O52" s="30">
        <f t="shared" si="21"/>
        <v>3.0621657318119833E-2</v>
      </c>
      <c r="P52" s="30">
        <f t="shared" si="21"/>
        <v>3.3483019283682358E-2</v>
      </c>
      <c r="Q52" s="30">
        <f t="shared" si="21"/>
        <v>1.4095142152069862E-2</v>
      </c>
      <c r="R52" s="30">
        <f t="shared" si="21"/>
        <v>1.3516254494763569E-2</v>
      </c>
      <c r="S52" s="30">
        <f t="shared" si="21"/>
        <v>1.4669740592351266E-2</v>
      </c>
    </row>
    <row r="53" spans="1:19" x14ac:dyDescent="0.25">
      <c r="A53" t="s">
        <v>17</v>
      </c>
      <c r="B53" s="115">
        <f>B48-B47</f>
        <v>0.690913203003376</v>
      </c>
      <c r="C53" s="115">
        <f t="shared" ref="C53:S53" si="22">C48-C47</f>
        <v>0.68580621649702067</v>
      </c>
      <c r="D53" s="115">
        <f t="shared" si="22"/>
        <v>0.69602018950973132</v>
      </c>
      <c r="E53" s="30">
        <f t="shared" si="22"/>
        <v>2.5654414928195868E-2</v>
      </c>
      <c r="F53" s="30">
        <f t="shared" si="22"/>
        <v>2.4508020677840969E-2</v>
      </c>
      <c r="G53" s="30">
        <f t="shared" si="22"/>
        <v>2.6775720603600339E-2</v>
      </c>
      <c r="H53" s="30">
        <f t="shared" si="22"/>
        <v>4.173147315932324E-3</v>
      </c>
      <c r="I53" s="30">
        <f t="shared" si="22"/>
        <v>4.0163533479318225E-3</v>
      </c>
      <c r="J53" s="30">
        <f t="shared" si="22"/>
        <v>4.3235892015787147E-3</v>
      </c>
      <c r="K53" s="30">
        <f t="shared" si="22"/>
        <v>0.67237152625878238</v>
      </c>
      <c r="L53" s="30">
        <f t="shared" si="22"/>
        <v>0.66987132498631041</v>
      </c>
      <c r="M53" s="30">
        <f t="shared" si="22"/>
        <v>0.6748717275312508</v>
      </c>
      <c r="N53" s="30">
        <f t="shared" si="22"/>
        <v>2.5641870640720654E-2</v>
      </c>
      <c r="O53" s="30">
        <f t="shared" si="22"/>
        <v>2.44973258544956E-2</v>
      </c>
      <c r="P53" s="30">
        <f t="shared" si="22"/>
        <v>2.6786415426945709E-2</v>
      </c>
      <c r="Q53" s="30">
        <f t="shared" si="22"/>
        <v>4.2861314347899526E-3</v>
      </c>
      <c r="R53" s="30">
        <f t="shared" si="22"/>
        <v>4.1100999653318482E-3</v>
      </c>
      <c r="S53" s="30">
        <f t="shared" si="22"/>
        <v>4.4608586145917783E-3</v>
      </c>
    </row>
    <row r="54" spans="1:19" x14ac:dyDescent="0.25">
      <c r="A54" t="s">
        <v>18</v>
      </c>
      <c r="B54" s="115">
        <f>B49-B48</f>
        <v>0.70598821994125416</v>
      </c>
      <c r="C54" s="115">
        <f t="shared" ref="C54:S54" si="23">C49-C48</f>
        <v>0.70076980423113255</v>
      </c>
      <c r="D54" s="115">
        <f t="shared" si="23"/>
        <v>0.71120663565137932</v>
      </c>
      <c r="E54" s="30">
        <f t="shared" si="23"/>
        <v>2.500394444438081E-2</v>
      </c>
      <c r="F54" s="30">
        <f t="shared" si="23"/>
        <v>2.4396689725030951E-2</v>
      </c>
      <c r="G54" s="30">
        <f t="shared" si="23"/>
        <v>2.6654088321411695E-2</v>
      </c>
      <c r="H54" s="30">
        <f t="shared" si="23"/>
        <v>5.8144544908968587E-2</v>
      </c>
      <c r="I54" s="30">
        <f t="shared" si="23"/>
        <v>6.7271830249258091E-3</v>
      </c>
      <c r="J54" s="30">
        <f t="shared" si="23"/>
        <v>0.11186111987734892</v>
      </c>
      <c r="K54" s="30">
        <f t="shared" si="23"/>
        <v>0.68704198284122597</v>
      </c>
      <c r="L54" s="30">
        <f t="shared" si="23"/>
        <v>0.68448722974319054</v>
      </c>
      <c r="M54" s="30">
        <f t="shared" si="23"/>
        <v>0.68959673593926141</v>
      </c>
      <c r="N54" s="30">
        <f t="shared" si="23"/>
        <v>2.4991718218680292E-2</v>
      </c>
      <c r="O54" s="30">
        <f t="shared" si="23"/>
        <v>2.3876193490130593E-2</v>
      </c>
      <c r="P54" s="30">
        <f t="shared" si="23"/>
        <v>2.6107242947229992E-2</v>
      </c>
      <c r="Q54" s="30">
        <f t="shared" si="23"/>
        <v>1.7248575647066167E-2</v>
      </c>
      <c r="R54" s="30">
        <f t="shared" si="23"/>
        <v>-2.7205539752086505E-2</v>
      </c>
      <c r="S54" s="30">
        <f t="shared" si="23"/>
        <v>6.2174794470019501E-2</v>
      </c>
    </row>
    <row r="55" spans="1:19" x14ac:dyDescent="0.25">
      <c r="A55" s="71" t="s">
        <v>19</v>
      </c>
      <c r="B55" s="115">
        <f>B50-B49</f>
        <v>0.71802598081561797</v>
      </c>
      <c r="C55" s="115">
        <f t="shared" ref="C55:S55" si="24">C50-C49</f>
        <v>0.73438915844734254</v>
      </c>
      <c r="D55" s="115">
        <f t="shared" si="24"/>
        <v>0.7016628031838934</v>
      </c>
      <c r="E55" s="30">
        <f t="shared" si="24"/>
        <v>-5.1450443342037522E-2</v>
      </c>
      <c r="F55" s="30">
        <f t="shared" si="24"/>
        <v>7.4838775857496875E-2</v>
      </c>
      <c r="G55" s="30">
        <f t="shared" si="24"/>
        <v>-7.1503758805540052E-2</v>
      </c>
      <c r="H55" s="30">
        <f t="shared" si="24"/>
        <v>-4.6323022490842636E-2</v>
      </c>
      <c r="I55" s="30">
        <f t="shared" si="24"/>
        <v>6.1847813778314276E-2</v>
      </c>
      <c r="J55" s="30">
        <f t="shared" si="24"/>
        <v>-0.15449385875999955</v>
      </c>
      <c r="K55" s="30">
        <f t="shared" si="24"/>
        <v>-1.087680374558289</v>
      </c>
      <c r="L55" s="30">
        <f t="shared" si="24"/>
        <v>-0.39558260265234324</v>
      </c>
      <c r="M55" s="30">
        <f t="shared" si="24"/>
        <v>-0.86746634376557452</v>
      </c>
      <c r="N55" s="30">
        <f t="shared" si="24"/>
        <v>-5.2831964108032592E-2</v>
      </c>
      <c r="O55" s="30">
        <f t="shared" si="24"/>
        <v>-3.5339213734223662E-2</v>
      </c>
      <c r="P55" s="30">
        <f t="shared" si="24"/>
        <v>-0.11712403029543306</v>
      </c>
      <c r="Q55" s="30">
        <f t="shared" si="24"/>
        <v>-1.458679100312299E-2</v>
      </c>
      <c r="R55" s="30">
        <f t="shared" si="24"/>
        <v>9.3584045266033922E-2</v>
      </c>
      <c r="S55" s="30">
        <f t="shared" si="24"/>
        <v>-0.1227576272722799</v>
      </c>
    </row>
  </sheetData>
  <mergeCells count="9">
    <mergeCell ref="B1:S1"/>
    <mergeCell ref="B2:J2"/>
    <mergeCell ref="K2:S2"/>
    <mergeCell ref="B3:D3"/>
    <mergeCell ref="E3:G3"/>
    <mergeCell ref="H3:J3"/>
    <mergeCell ref="K3:M3"/>
    <mergeCell ref="N3:P3"/>
    <mergeCell ref="Q3:S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F168-2716-4479-BC13-B1C6A066D9DA}">
  <sheetPr codeName="Sheet12"/>
  <dimension ref="A1:Q213"/>
  <sheetViews>
    <sheetView zoomScale="119" workbookViewId="0">
      <selection activeCell="B89" sqref="B89"/>
    </sheetView>
  </sheetViews>
  <sheetFormatPr defaultColWidth="8.85546875" defaultRowHeight="15" x14ac:dyDescent="0.25"/>
  <cols>
    <col min="1" max="1" width="9.85546875" bestFit="1" customWidth="1"/>
    <col min="2" max="2" width="15.42578125" bestFit="1" customWidth="1"/>
    <col min="3" max="3" width="12.42578125" bestFit="1" customWidth="1"/>
    <col min="7" max="7" width="17.85546875" bestFit="1" customWidth="1"/>
    <col min="9" max="9" width="15.42578125" bestFit="1" customWidth="1"/>
    <col min="10" max="10" width="12.42578125" bestFit="1" customWidth="1"/>
    <col min="11" max="12" width="7.42578125" bestFit="1" customWidth="1"/>
    <col min="13" max="13" width="8.7109375" bestFit="1" customWidth="1"/>
    <col min="14" max="14" width="17.85546875" bestFit="1" customWidth="1"/>
  </cols>
  <sheetData>
    <row r="1" spans="1:14" x14ac:dyDescent="0.25">
      <c r="A1" s="219">
        <v>337</v>
      </c>
      <c r="B1" s="219" t="s">
        <v>22</v>
      </c>
      <c r="C1" s="254" t="str">
        <f>'Adj-Mixed'!A17</f>
        <v>Low energy diet</v>
      </c>
      <c r="D1" s="254"/>
      <c r="E1" s="254"/>
      <c r="F1" s="254"/>
      <c r="G1" s="254"/>
      <c r="I1" s="212" t="str">
        <f>B1</f>
        <v>Mixed Gender</v>
      </c>
      <c r="J1" s="255" t="s">
        <v>125</v>
      </c>
      <c r="K1" s="256"/>
      <c r="L1" s="256"/>
      <c r="M1" s="256"/>
      <c r="N1" s="257"/>
    </row>
    <row r="2" spans="1:14" ht="15" customHeight="1" x14ac:dyDescent="0.25">
      <c r="A2" s="124" t="s">
        <v>55</v>
      </c>
      <c r="B2" s="124" t="s">
        <v>126</v>
      </c>
      <c r="C2" s="219" t="s">
        <v>127</v>
      </c>
      <c r="D2" s="219" t="s">
        <v>128</v>
      </c>
      <c r="E2" s="219" t="s">
        <v>129</v>
      </c>
      <c r="F2" s="219" t="s">
        <v>130</v>
      </c>
      <c r="G2" s="219" t="s">
        <v>131</v>
      </c>
      <c r="I2" s="125" t="str">
        <f>B2</f>
        <v>Body Weight, kg</v>
      </c>
      <c r="J2" s="212" t="str">
        <f>C2</f>
        <v>Est. ADG, g/d</v>
      </c>
      <c r="K2" s="212" t="str">
        <f t="shared" ref="K2:N2" si="0">D2</f>
        <v>Est. G:F</v>
      </c>
      <c r="L2" s="212" t="str">
        <f t="shared" si="0"/>
        <v>Est. F:G</v>
      </c>
      <c r="M2" s="212" t="str">
        <f t="shared" si="0"/>
        <v>Est. ADFI</v>
      </c>
      <c r="N2" s="212" t="str">
        <f t="shared" si="0"/>
        <v>Ac. Feed intake, kg</v>
      </c>
    </row>
    <row r="3" spans="1:14" ht="15" customHeight="1" x14ac:dyDescent="0.25">
      <c r="A3" s="114">
        <f>'Кормовой бюджет'!C5</f>
        <v>21</v>
      </c>
      <c r="B3" s="27">
        <f>IF(A3&gt;200,"",IF($C$1='Adj-Mixed'!$A$21,VLOOKUP(A3,'800'!$A$6:$AB$188,4,FALSE),IF($C$1='Adj-Mixed'!$A$20,VLOOKUP(A3,'800'!$A$6:$AB$188,13,FALSE),IF($C$1='Adj-Mixed'!$A$19,VLOOKUP(A3,'800'!$A$6:$AB$188,22,FALSE)))))</f>
        <v>6.1337702232754658</v>
      </c>
      <c r="C3" s="25"/>
      <c r="D3" s="23"/>
      <c r="E3" s="26"/>
      <c r="F3" s="26"/>
      <c r="G3" s="217"/>
      <c r="I3" s="129">
        <f>'I-Mixed'!C9</f>
        <v>12</v>
      </c>
      <c r="J3" s="23"/>
      <c r="K3" s="23"/>
      <c r="L3" s="23"/>
      <c r="M3" s="217"/>
      <c r="N3" s="217"/>
    </row>
    <row r="4" spans="1:14" ht="15" customHeight="1" x14ac:dyDescent="0.25">
      <c r="A4" s="22">
        <f>A3+1</f>
        <v>22</v>
      </c>
      <c r="B4" s="27">
        <f>IF(A4&gt;200,"",IF($C$1='Adj-Mixed'!$A$21,VLOOKUP(A4,'800'!$A$6:$AB$188,4,FALSE),IF($C$1='Adj-Mixed'!$A$20,VLOOKUP(A4,'800'!$A$6:$AB$188,13,FALSE),IF($C$1='Adj-Mixed'!$A$19,VLOOKUP(A4,'800'!$A$6:$AB$188,22,FALSE)))))</f>
        <v>6.2172587145450322</v>
      </c>
      <c r="C4" s="25">
        <f>IF(A4&gt;200,"",(B4-B3)*1000)</f>
        <v>83.488491269566367</v>
      </c>
      <c r="D4" s="26">
        <f>IF(A4&gt;200,"",1/E4)</f>
        <v>0.9708807012780365</v>
      </c>
      <c r="E4" s="26">
        <f>IF(A4&gt;200,"",IF($C$1='Adj-Mixed'!$A$21,VLOOKUP(A4,'800'!$A$7:$AB$188,10,FALSE),IF($C$1='Adj-Mixed'!$A$20,VLOOKUP(A4,'800'!$A$7:$AB$188,19,FALSE),IF($C$1='Adj-Mixed'!$A$19,VLOOKUP(A4,'800'!$A$7:$AB$188,28,FALSE)))))</f>
        <v>1.0299926640663799</v>
      </c>
      <c r="F4" s="26">
        <f>IF(A4&gt;200,"",IF($C$1='Adj-Mixed'!$A$21,VLOOKUP(A4,'800'!$A$7:$AB$188,7,FALSE),IF($C$1='Adj-Mixed'!$A$20,VLOOKUP(A4,'800'!$A$7:$AB$188,16,FALSE),IF($C$1='Adj-Mixed'!$A$19,VLOOKUP(A4,'800'!$A$7:$AB$188,25,FALSE)))))</f>
        <v>8.5992533541623367E-2</v>
      </c>
      <c r="G4" s="26">
        <f>IF(A4&gt;200,"",F4)</f>
        <v>8.5992533541623367E-2</v>
      </c>
      <c r="I4" s="127">
        <f t="shared" ref="I4:I35" si="1">IF(A4&gt;200,"",I3+(J4/1000))</f>
        <v>12.131217638873039</v>
      </c>
      <c r="J4" s="25">
        <f>IF(A4&gt;200,"",(C4*'Adj-Mixed'!$C$6))</f>
        <v>131.21763887303874</v>
      </c>
      <c r="K4" s="26">
        <f>IF(A4&gt;200,"",D4*'Adj-Mixed'!$C$7)</f>
        <v>0.60864715568386096</v>
      </c>
      <c r="L4" s="1">
        <f t="shared" ref="L4:L35" si="2">IF(A4&gt;200,"",1/K4)</f>
        <v>1.6429880443233562</v>
      </c>
      <c r="M4" s="26">
        <f t="shared" ref="M4:M35" si="3">IF(A4&gt;200,"",(J4/1000)/K4)</f>
        <v>0.21558901187274232</v>
      </c>
      <c r="N4" s="115">
        <f>M4</f>
        <v>0.21558901187274232</v>
      </c>
    </row>
    <row r="5" spans="1:14" ht="15" customHeight="1" x14ac:dyDescent="0.25">
      <c r="A5" s="22">
        <f t="shared" ref="A5:A68" si="4">A4+1</f>
        <v>23</v>
      </c>
      <c r="B5" s="27">
        <f>IF(A5&gt;200,"",IF($C$1='Adj-Mixed'!$A$21,VLOOKUP(A5,'800'!$A$6:$AB$188,4,FALSE),IF($C$1='Adj-Mixed'!$A$20,VLOOKUP(A5,'800'!$A$6:$AB$188,13,FALSE),IF($C$1='Adj-Mixed'!$A$19,VLOOKUP(A5,'800'!$A$6:$AB$188,22,FALSE)))))</f>
        <v>6.3251686797553202</v>
      </c>
      <c r="C5" s="25">
        <f t="shared" ref="C5:C68" si="5">IF(A5&gt;200,"",(B5-B4)*1000)</f>
        <v>107.90996521028795</v>
      </c>
      <c r="D5" s="26">
        <f t="shared" ref="D5:D68" si="6">IF(A5&gt;200,"",1/E5)</f>
        <v>0.96154530991960308</v>
      </c>
      <c r="E5" s="26">
        <f>IF(A5&gt;200,"",IF($C$1='Adj-Mixed'!$A$21,VLOOKUP(A5,'800'!$A$7:$AB$188,10,FALSE),IF($C$1='Adj-Mixed'!$A$20,VLOOKUP(A5,'800'!$A$7:$AB$188,19,FALSE),IF($C$1='Adj-Mixed'!$A$19,VLOOKUP(A5,'800'!$A$7:$AB$188,28,FALSE)))))</f>
        <v>1.0399925928437135</v>
      </c>
      <c r="F5" s="26">
        <f>IF(A5&gt;200,"",IF($C$1='Adj-Mixed'!$A$21,VLOOKUP(A5,'800'!$A$7:$AB$188,7,FALSE),IF($C$1='Adj-Mixed'!$A$20,VLOOKUP(A5,'800'!$A$7:$AB$188,16,FALSE),IF($C$1='Adj-Mixed'!$A$19,VLOOKUP(A5,'800'!$A$7:$AB$188,25,FALSE)))))</f>
        <v>0.11222556451272228</v>
      </c>
      <c r="G5" s="26">
        <f>IF(A5&gt;200,"",F5+G4)</f>
        <v>0.19821809805434565</v>
      </c>
      <c r="I5" s="127">
        <f t="shared" si="1"/>
        <v>12.300818150637555</v>
      </c>
      <c r="J5" s="25">
        <f>IF(A5&gt;200,"",(C5*'Adj-Mixed'!$C$6))</f>
        <v>169.60051176451546</v>
      </c>
      <c r="K5" s="26">
        <f>IF(A5&gt;200,"",D5*'Adj-Mixed'!$C$7)</f>
        <v>0.60279477918690649</v>
      </c>
      <c r="L5" s="1">
        <f t="shared" si="2"/>
        <v>1.6589393845594895</v>
      </c>
      <c r="M5" s="26">
        <f t="shared" si="3"/>
        <v>0.28135696860759973</v>
      </c>
      <c r="N5" s="115">
        <f t="shared" ref="N5:N36" si="7">IF(A5&gt;200,"",N4+M5)</f>
        <v>0.49694598048034205</v>
      </c>
    </row>
    <row r="6" spans="1:14" ht="15" customHeight="1" x14ac:dyDescent="0.25">
      <c r="A6" s="22">
        <f t="shared" si="4"/>
        <v>24</v>
      </c>
      <c r="B6" s="27">
        <f>IF(A6&gt;200,"",IF($C$1='Adj-Mixed'!$A$21,VLOOKUP(A6,'800'!$A$6:$AB$188,4,FALSE),IF($C$1='Adj-Mixed'!$A$20,VLOOKUP(A6,'800'!$A$6:$AB$188,13,FALSE),IF($C$1='Adj-Mixed'!$A$19,VLOOKUP(A6,'800'!$A$6:$AB$188,22,FALSE)))))</f>
        <v>6.4569186552410729</v>
      </c>
      <c r="C6" s="25">
        <f t="shared" si="5"/>
        <v>131.74997548575274</v>
      </c>
      <c r="D6" s="26">
        <f t="shared" si="6"/>
        <v>0.95238773553941614</v>
      </c>
      <c r="E6" s="26">
        <f>IF(A6&gt;200,"",IF($C$1='Adj-Mixed'!$A$21,VLOOKUP(A6,'800'!$A$7:$AB$188,10,FALSE),IF($C$1='Adj-Mixed'!$A$20,VLOOKUP(A6,'800'!$A$7:$AB$188,19,FALSE),IF($C$1='Adj-Mixed'!$A$19,VLOOKUP(A6,'800'!$A$7:$AB$188,28,FALSE)))))</f>
        <v>1.0499925216210571</v>
      </c>
      <c r="F6" s="26">
        <f>IF(A6&gt;200,"",IF($C$1='Adj-Mixed'!$A$21,VLOOKUP(A6,'800'!$A$7:$AB$188,7,FALSE),IF($C$1='Adj-Mixed'!$A$20,VLOOKUP(A6,'800'!$A$7:$AB$188,16,FALSE),IF($C$1='Adj-Mixed'!$A$19,VLOOKUP(A6,'800'!$A$7:$AB$188,25,FALSE)))))</f>
        <v>0.13833648898379797</v>
      </c>
      <c r="G6" s="26">
        <f t="shared" ref="G6:G69" si="8">IF(A6&gt;200,"",F6+G5)</f>
        <v>0.33655458703814362</v>
      </c>
      <c r="I6" s="127">
        <f t="shared" si="1"/>
        <v>12.507887657367558</v>
      </c>
      <c r="J6" s="25">
        <f>IF(A6&gt;200,"",(C6*'Adj-Mixed'!$C$6))</f>
        <v>207.06950673000227</v>
      </c>
      <c r="K6" s="26">
        <f>IF(A6&gt;200,"",D6*'Adj-Mixed'!$C$7)</f>
        <v>0.59705387652798347</v>
      </c>
      <c r="L6" s="1">
        <f t="shared" si="2"/>
        <v>1.6748907247956386</v>
      </c>
      <c r="M6" s="26">
        <f t="shared" si="3"/>
        <v>0.34681879621008888</v>
      </c>
      <c r="N6" s="115">
        <f t="shared" si="7"/>
        <v>0.84376477669043093</v>
      </c>
    </row>
    <row r="7" spans="1:14" ht="15" customHeight="1" x14ac:dyDescent="0.25">
      <c r="A7" s="22">
        <f t="shared" si="4"/>
        <v>25</v>
      </c>
      <c r="B7" s="27">
        <f>IF(A7&gt;200,"",IF($C$1='Adj-Mixed'!$A$21,VLOOKUP(A7,'800'!$A$6:$AB$188,4,FALSE),IF($C$1='Adj-Mixed'!$A$20,VLOOKUP(A7,'800'!$A$6:$AB$188,13,FALSE),IF($C$1='Adj-Mixed'!$A$19,VLOOKUP(A7,'800'!$A$6:$AB$188,22,FALSE)))))</f>
        <v>6.6119271773370354</v>
      </c>
      <c r="C7" s="25">
        <f t="shared" si="5"/>
        <v>155.00852209596249</v>
      </c>
      <c r="D7" s="26">
        <f t="shared" si="6"/>
        <v>0.94340294558149185</v>
      </c>
      <c r="E7" s="26">
        <f>IF(A7&gt;200,"",IF($C$1='Adj-Mixed'!$A$21,VLOOKUP(A7,'800'!$A$7:$AB$188,10,FALSE),IF($C$1='Adj-Mixed'!$A$20,VLOOKUP(A7,'800'!$A$7:$AB$188,19,FALSE),IF($C$1='Adj-Mixed'!$A$19,VLOOKUP(A7,'800'!$A$7:$AB$188,28,FALSE)))))</f>
        <v>1.0599924503984064</v>
      </c>
      <c r="F7" s="26">
        <f>IF(A7&gt;200,"",IF($C$1='Adj-Mixed'!$A$21,VLOOKUP(A7,'800'!$A$7:$AB$188,7,FALSE),IF($C$1='Adj-Mixed'!$A$20,VLOOKUP(A7,'800'!$A$7:$AB$188,16,FALSE),IF($C$1='Adj-Mixed'!$A$19,VLOOKUP(A7,'800'!$A$7:$AB$188,25,FALSE)))))</f>
        <v>0.16430786316913482</v>
      </c>
      <c r="G7" s="26">
        <f t="shared" si="8"/>
        <v>0.50086245020727849</v>
      </c>
      <c r="I7" s="127">
        <f t="shared" si="1"/>
        <v>12.75151228113706</v>
      </c>
      <c r="J7" s="25">
        <f>IF(A7&gt;200,"",(C7*'Adj-Mixed'!$C$6))</f>
        <v>243.62462376950191</v>
      </c>
      <c r="K7" s="26">
        <f>IF(A7&gt;200,"",D7*'Adj-Mixed'!$C$7)</f>
        <v>0.59142129278715017</v>
      </c>
      <c r="L7" s="1">
        <f t="shared" si="2"/>
        <v>1.690842065031797</v>
      </c>
      <c r="M7" s="26">
        <f t="shared" si="3"/>
        <v>0.41193076194701922</v>
      </c>
      <c r="N7" s="115">
        <f t="shared" si="7"/>
        <v>1.2556955386374502</v>
      </c>
    </row>
    <row r="8" spans="1:14" ht="15" customHeight="1" x14ac:dyDescent="0.25">
      <c r="A8" s="22">
        <f t="shared" si="4"/>
        <v>26</v>
      </c>
      <c r="B8" s="27">
        <f>IF(A8&gt;200,"",IF($C$1='Adj-Mixed'!$A$21,VLOOKUP(A8,'800'!$A$6:$AB$188,4,FALSE),IF($C$1='Adj-Mixed'!$A$20,VLOOKUP(A8,'800'!$A$6:$AB$188,13,FALSE),IF($C$1='Adj-Mixed'!$A$19,VLOOKUP(A8,'800'!$A$6:$AB$188,22,FALSE)))))</f>
        <v>6.7896127823779535</v>
      </c>
      <c r="C8" s="25">
        <f t="shared" si="5"/>
        <v>177.68560504091812</v>
      </c>
      <c r="D8" s="26">
        <f t="shared" si="6"/>
        <v>0.92593252066332199</v>
      </c>
      <c r="E8" s="26">
        <f>IF(A8&gt;200,"",IF($C$1='Adj-Mixed'!$A$21,VLOOKUP(A8,'800'!$A$7:$AB$188,10,FALSE),IF($C$1='Adj-Mixed'!$A$20,VLOOKUP(A8,'800'!$A$7:$AB$188,19,FALSE),IF($C$1='Adj-Mixed'!$A$19,VLOOKUP(A8,'800'!$A$7:$AB$188,28,FALSE)))))</f>
        <v>1.0799923079530864</v>
      </c>
      <c r="F8" s="26">
        <f>IF(A8&gt;200,"",IF($C$1='Adj-Mixed'!$A$21,VLOOKUP(A8,'800'!$A$7:$AB$188,7,FALSE),IF($C$1='Adj-Mixed'!$A$20,VLOOKUP(A8,'800'!$A$7:$AB$188,16,FALSE),IF($C$1='Adj-Mixed'!$A$19,VLOOKUP(A8,'800'!$A$7:$AB$188,25,FALSE)))))</f>
        <v>0.19189908667818173</v>
      </c>
      <c r="G8" s="26">
        <f t="shared" si="8"/>
        <v>0.69276153688546027</v>
      </c>
      <c r="I8" s="127">
        <f t="shared" si="1"/>
        <v>13.030778144020076</v>
      </c>
      <c r="J8" s="25">
        <f>IF(A8&gt;200,"",(C8*'Adj-Mixed'!$C$6))</f>
        <v>279.26586288301581</v>
      </c>
      <c r="K8" s="26">
        <f>IF(A8&gt;200,"",D8*'Adj-Mixed'!$C$7)</f>
        <v>0.58046904662442877</v>
      </c>
      <c r="L8" s="1">
        <f t="shared" si="2"/>
        <v>1.7227447455040843</v>
      </c>
      <c r="M8" s="26">
        <f t="shared" si="3"/>
        <v>0.48110379788037955</v>
      </c>
      <c r="N8" s="115">
        <f t="shared" si="7"/>
        <v>1.7367993365178298</v>
      </c>
    </row>
    <row r="9" spans="1:14" ht="15" customHeight="1" x14ac:dyDescent="0.25">
      <c r="A9" s="22">
        <f t="shared" si="4"/>
        <v>27</v>
      </c>
      <c r="B9" s="27">
        <f>IF(A9&gt;200,"",IF($C$1='Adj-Mixed'!$A$21,VLOOKUP(A9,'800'!$A$6:$AB$188,4,FALSE),IF($C$1='Adj-Mixed'!$A$20,VLOOKUP(A9,'800'!$A$6:$AB$188,13,FALSE),IF($C$1='Adj-Mixed'!$A$19,VLOOKUP(A9,'800'!$A$6:$AB$188,22,FALSE)))))</f>
        <v>6.9893940066985696</v>
      </c>
      <c r="C9" s="25">
        <f t="shared" si="5"/>
        <v>199.78122432061608</v>
      </c>
      <c r="D9" s="26">
        <f t="shared" si="6"/>
        <v>0.91389010307300089</v>
      </c>
      <c r="E9" s="26">
        <f>IF(A9&gt;200,"",IF($C$1='Adj-Mixed'!$A$21,VLOOKUP(A9,'800'!$A$7:$AB$188,10,FALSE),IF($C$1='Adj-Mixed'!$A$20,VLOOKUP(A9,'800'!$A$7:$AB$188,19,FALSE),IF($C$1='Adj-Mixed'!$A$19,VLOOKUP(A9,'800'!$A$7:$AB$188,28,FALSE)))))</f>
        <v>1.0942234702372313</v>
      </c>
      <c r="F9" s="26">
        <f>IF(A9&gt;200,"",IF($C$1='Adj-Mixed'!$A$21,VLOOKUP(A9,'800'!$A$7:$AB$188,7,FALSE),IF($C$1='Adj-Mixed'!$A$20,VLOOKUP(A9,'800'!$A$7:$AB$188,16,FALSE),IF($C$1='Adj-Mixed'!$A$19,VLOOKUP(A9,'800'!$A$7:$AB$188,25,FALSE)))))</f>
        <v>0.21860530456434776</v>
      </c>
      <c r="G9" s="26">
        <f t="shared" si="8"/>
        <v>0.91136684144980806</v>
      </c>
      <c r="I9" s="127">
        <f t="shared" si="1"/>
        <v>13.344771368090614</v>
      </c>
      <c r="J9" s="25">
        <f>IF(A9&gt;200,"",(C9*'Adj-Mixed'!$C$6))</f>
        <v>313.99322407053842</v>
      </c>
      <c r="K9" s="26">
        <f>IF(A9&gt;200,"",D9*'Adj-Mixed'!$C$7)</f>
        <v>0.57291962968344134</v>
      </c>
      <c r="L9" s="1">
        <f t="shared" si="2"/>
        <v>1.7454455183400435</v>
      </c>
      <c r="M9" s="26">
        <f t="shared" si="3"/>
        <v>0.54805806574306237</v>
      </c>
      <c r="N9" s="115">
        <f t="shared" si="7"/>
        <v>2.2848574022608923</v>
      </c>
    </row>
    <row r="10" spans="1:14" ht="15" customHeight="1" x14ac:dyDescent="0.25">
      <c r="A10" s="22">
        <f t="shared" si="4"/>
        <v>28</v>
      </c>
      <c r="B10" s="27">
        <f>IF(A10&gt;200,"",IF($C$1='Adj-Mixed'!$A$21,VLOOKUP(A10,'800'!$A$6:$AB$188,4,FALSE),IF($C$1='Adj-Mixed'!$A$20,VLOOKUP(A10,'800'!$A$6:$AB$188,13,FALSE),IF($C$1='Adj-Mixed'!$A$19,VLOOKUP(A10,'800'!$A$6:$AB$188,22,FALSE)))))</f>
        <v>7.2106893866336321</v>
      </c>
      <c r="C10" s="25">
        <f t="shared" si="5"/>
        <v>221.29537993506256</v>
      </c>
      <c r="D10" s="26">
        <f t="shared" si="6"/>
        <v>0.90209941108536196</v>
      </c>
      <c r="E10" s="26">
        <f>IF(A10&gt;200,"",IF($C$1='Adj-Mixed'!$A$21,VLOOKUP(A10,'800'!$A$7:$AB$188,10,FALSE),IF($C$1='Adj-Mixed'!$A$20,VLOOKUP(A10,'800'!$A$7:$AB$188,19,FALSE),IF($C$1='Adj-Mixed'!$A$19,VLOOKUP(A10,'800'!$A$7:$AB$188,28,FALSE)))))</f>
        <v>1.1085252774933627</v>
      </c>
      <c r="F10" s="26">
        <f>IF(A10&gt;200,"",IF($C$1='Adj-Mixed'!$A$21,VLOOKUP(A10,'800'!$A$7:$AB$188,7,FALSE),IF($C$1='Adj-Mixed'!$A$20,VLOOKUP(A10,'800'!$A$7:$AB$188,16,FALSE),IF($C$1='Adj-Mixed'!$A$19,VLOOKUP(A10,'800'!$A$7:$AB$188,25,FALSE)))))</f>
        <v>0.24531152245051385</v>
      </c>
      <c r="G10" s="26">
        <f t="shared" si="8"/>
        <v>1.156678363900322</v>
      </c>
      <c r="I10" s="127">
        <f t="shared" si="1"/>
        <v>13.692578075422693</v>
      </c>
      <c r="J10" s="25">
        <f>IF(A10&gt;200,"",(C10*'Adj-Mixed'!$C$6))</f>
        <v>347.80670733207944</v>
      </c>
      <c r="K10" s="26">
        <f>IF(A10&gt;200,"",D10*'Adj-Mixed'!$C$7)</f>
        <v>0.56552802005274816</v>
      </c>
      <c r="L10" s="1">
        <f t="shared" si="2"/>
        <v>1.7682589801770168</v>
      </c>
      <c r="M10" s="26">
        <f t="shared" si="3"/>
        <v>0.61501233360574903</v>
      </c>
      <c r="N10" s="115">
        <f t="shared" si="7"/>
        <v>2.8998697358666412</v>
      </c>
    </row>
    <row r="11" spans="1:14" ht="15" customHeight="1" x14ac:dyDescent="0.25">
      <c r="A11" s="22">
        <f t="shared" si="4"/>
        <v>29</v>
      </c>
      <c r="B11" s="27">
        <f>IF(A11&gt;200,"",IF($C$1='Adj-Mixed'!$A$21,VLOOKUP(A11,'800'!$A$6:$AB$188,4,FALSE),IF($C$1='Adj-Mixed'!$A$20,VLOOKUP(A11,'800'!$A$6:$AB$188,13,FALSE),IF($C$1='Adj-Mixed'!$A$19,VLOOKUP(A11,'800'!$A$6:$AB$188,22,FALSE)))))</f>
        <v>7.4529174585178826</v>
      </c>
      <c r="C11" s="25">
        <f t="shared" si="5"/>
        <v>242.22807188425043</v>
      </c>
      <c r="D11" s="26">
        <f t="shared" si="6"/>
        <v>0.89048630278466967</v>
      </c>
      <c r="E11" s="26">
        <f>IF(A11&gt;200,"",IF($C$1='Adj-Mixed'!$A$21,VLOOKUP(A11,'800'!$A$7:$AB$188,10,FALSE),IF($C$1='Adj-Mixed'!$A$20,VLOOKUP(A11,'800'!$A$7:$AB$188,19,FALSE),IF($C$1='Adj-Mixed'!$A$19,VLOOKUP(A11,'800'!$A$7:$AB$188,28,FALSE)))))</f>
        <v>1.1229818997472127</v>
      </c>
      <c r="F11" s="26">
        <f>IF(A11&gt;200,"",IF($C$1='Adj-Mixed'!$A$21,VLOOKUP(A11,'800'!$A$7:$AB$188,7,FALSE),IF($C$1='Adj-Mixed'!$A$20,VLOOKUP(A11,'800'!$A$7:$AB$188,16,FALSE),IF($C$1='Adj-Mixed'!$A$19,VLOOKUP(A11,'800'!$A$7:$AB$188,25,FALSE)))))</f>
        <v>0.27201774033667997</v>
      </c>
      <c r="G11" s="26">
        <f t="shared" si="8"/>
        <v>1.4286961042370019</v>
      </c>
      <c r="I11" s="127">
        <f t="shared" si="1"/>
        <v>14.07328438809032</v>
      </c>
      <c r="J11" s="25">
        <f>IF(A11&gt;200,"",(C11*'Adj-Mixed'!$C$6))</f>
        <v>380.70631266762769</v>
      </c>
      <c r="K11" s="26">
        <f>IF(A11&gt;200,"",D11*'Adj-Mixed'!$C$7)</f>
        <v>0.55824773800927918</v>
      </c>
      <c r="L11" s="1">
        <f t="shared" si="2"/>
        <v>1.7913193944430779</v>
      </c>
      <c r="M11" s="26">
        <f t="shared" si="3"/>
        <v>0.68196660146843191</v>
      </c>
      <c r="N11" s="115">
        <f t="shared" si="7"/>
        <v>3.5818363373350732</v>
      </c>
    </row>
    <row r="12" spans="1:14" ht="15" customHeight="1" x14ac:dyDescent="0.25">
      <c r="A12" s="22">
        <f t="shared" si="4"/>
        <v>30</v>
      </c>
      <c r="B12" s="27">
        <f>IF(A12&gt;200,"",IF($C$1='Adj-Mixed'!$A$21,VLOOKUP(A12,'800'!$A$6:$AB$188,4,FALSE),IF($C$1='Adj-Mixed'!$A$20,VLOOKUP(A12,'800'!$A$6:$AB$188,13,FALSE),IF($C$1='Adj-Mixed'!$A$19,VLOOKUP(A12,'800'!$A$6:$AB$188,22,FALSE)))))</f>
        <v>7.7154967586860668</v>
      </c>
      <c r="C12" s="25">
        <f t="shared" si="5"/>
        <v>262.5793001681842</v>
      </c>
      <c r="D12" s="26">
        <f t="shared" si="6"/>
        <v>0.87900314969816329</v>
      </c>
      <c r="E12" s="26">
        <f>IF(A12&gt;200,"",IF($C$1='Adj-Mixed'!$A$21,VLOOKUP(A12,'800'!$A$7:$AB$188,10,FALSE),IF($C$1='Adj-Mixed'!$A$20,VLOOKUP(A12,'800'!$A$7:$AB$188,19,FALSE),IF($C$1='Adj-Mixed'!$A$19,VLOOKUP(A12,'800'!$A$7:$AB$188,28,FALSE)))))</f>
        <v>1.137652351238315</v>
      </c>
      <c r="F12" s="26">
        <f>IF(A12&gt;200,"",IF($C$1='Adj-Mixed'!$A$21,VLOOKUP(A12,'800'!$A$7:$AB$188,7,FALSE),IF($C$1='Adj-Mixed'!$A$20,VLOOKUP(A12,'800'!$A$7:$AB$188,16,FALSE),IF($C$1='Adj-Mixed'!$A$19,VLOOKUP(A12,'800'!$A$7:$AB$188,25,FALSE)))))</f>
        <v>0.29872395822284603</v>
      </c>
      <c r="G12" s="26">
        <f t="shared" si="8"/>
        <v>1.7274200624598479</v>
      </c>
      <c r="I12" s="127">
        <f t="shared" si="1"/>
        <v>14.485976428167509</v>
      </c>
      <c r="J12" s="25">
        <f>IF(A12&gt;200,"",(C12*'Adj-Mixed'!$C$6))</f>
        <v>412.69204007719026</v>
      </c>
      <c r="K12" s="26">
        <f>IF(A12&gt;200,"",D12*'Adj-Mixed'!$C$7)</f>
        <v>0.55104892516318582</v>
      </c>
      <c r="L12" s="1">
        <f t="shared" si="2"/>
        <v>1.8147208974300482</v>
      </c>
      <c r="M12" s="26">
        <f t="shared" si="3"/>
        <v>0.74892086933111601</v>
      </c>
      <c r="N12" s="115">
        <f t="shared" si="7"/>
        <v>4.3307572066661892</v>
      </c>
    </row>
    <row r="13" spans="1:14" ht="15" customHeight="1" x14ac:dyDescent="0.25">
      <c r="A13" s="22">
        <f t="shared" si="4"/>
        <v>31</v>
      </c>
      <c r="B13" s="27">
        <f>IF(A13&gt;200,"",IF($C$1='Adj-Mixed'!$A$21,VLOOKUP(A13,'800'!$A$6:$AB$188,4,FALSE),IF($C$1='Adj-Mixed'!$A$20,VLOOKUP(A13,'800'!$A$6:$AB$188,13,FALSE),IF($C$1='Adj-Mixed'!$A$19,VLOOKUP(A13,'800'!$A$6:$AB$188,22,FALSE)))))</f>
        <v>7.9978458234729306</v>
      </c>
      <c r="C13" s="25">
        <f t="shared" si="5"/>
        <v>282.34906478686383</v>
      </c>
      <c r="D13" s="26">
        <f t="shared" si="6"/>
        <v>0.86761795775288808</v>
      </c>
      <c r="E13" s="26">
        <f>IF(A13&gt;200,"",IF($C$1='Adj-Mixed'!$A$21,VLOOKUP(A13,'800'!$A$7:$AB$188,10,FALSE),IF($C$1='Adj-Mixed'!$A$20,VLOOKUP(A13,'800'!$A$7:$AB$188,19,FALSE),IF($C$1='Adj-Mixed'!$A$19,VLOOKUP(A13,'800'!$A$7:$AB$188,28,FALSE)))))</f>
        <v>1.1525810306992477</v>
      </c>
      <c r="F13" s="26">
        <f>IF(A13&gt;200,"",IF($C$1='Adj-Mixed'!$A$21,VLOOKUP(A13,'800'!$A$7:$AB$188,7,FALSE),IF($C$1='Adj-Mixed'!$A$20,VLOOKUP(A13,'800'!$A$7:$AB$188,16,FALSE),IF($C$1='Adj-Mixed'!$A$19,VLOOKUP(A13,'800'!$A$7:$AB$188,25,FALSE)))))</f>
        <v>0.32543017610901215</v>
      </c>
      <c r="G13" s="26">
        <f t="shared" si="8"/>
        <v>2.0528502385688601</v>
      </c>
      <c r="I13" s="127">
        <f t="shared" si="1"/>
        <v>14.929740317728276</v>
      </c>
      <c r="J13" s="25">
        <f>IF(A13&gt;200,"",(C13*'Adj-Mixed'!$C$6))</f>
        <v>443.7638895607671</v>
      </c>
      <c r="K13" s="26">
        <f>IF(A13&gt;200,"",D13*'Adj-Mixed'!$C$7)</f>
        <v>0.54391152436277368</v>
      </c>
      <c r="L13" s="1">
        <f t="shared" si="2"/>
        <v>1.8385343115712844</v>
      </c>
      <c r="M13" s="26">
        <f t="shared" si="3"/>
        <v>0.81587513719380045</v>
      </c>
      <c r="N13" s="115">
        <f t="shared" si="7"/>
        <v>5.1466323438599897</v>
      </c>
    </row>
    <row r="14" spans="1:14" ht="15" customHeight="1" x14ac:dyDescent="0.25">
      <c r="A14" s="22">
        <f t="shared" si="4"/>
        <v>32</v>
      </c>
      <c r="B14" s="27">
        <f>IF(A14&gt;200,"",IF($C$1='Adj-Mixed'!$A$21,VLOOKUP(A14,'800'!$A$6:$AB$188,4,FALSE),IF($C$1='Adj-Mixed'!$A$20,VLOOKUP(A14,'800'!$A$6:$AB$188,13,FALSE),IF($C$1='Adj-Mixed'!$A$19,VLOOKUP(A14,'800'!$A$6:$AB$188,22,FALSE)))))</f>
        <v>8.2993831892132164</v>
      </c>
      <c r="C14" s="25">
        <f t="shared" si="5"/>
        <v>301.53736574028579</v>
      </c>
      <c r="D14" s="26">
        <f t="shared" si="6"/>
        <v>0.85630843866827244</v>
      </c>
      <c r="E14" s="26">
        <f>IF(A14&gt;200,"",IF($C$1='Adj-Mixed'!$A$21,VLOOKUP(A14,'800'!$A$7:$AB$188,10,FALSE),IF($C$1='Adj-Mixed'!$A$20,VLOOKUP(A14,'800'!$A$7:$AB$188,19,FALSE),IF($C$1='Adj-Mixed'!$A$19,VLOOKUP(A14,'800'!$A$7:$AB$188,28,FALSE)))))</f>
        <v>1.1678035096269705</v>
      </c>
      <c r="F14" s="26">
        <f>IF(A14&gt;200,"",IF($C$1='Adj-Mixed'!$A$21,VLOOKUP(A14,'800'!$A$7:$AB$188,7,FALSE),IF($C$1='Adj-Mixed'!$A$20,VLOOKUP(A14,'800'!$A$7:$AB$188,16,FALSE),IF($C$1='Adj-Mixed'!$A$19,VLOOKUP(A14,'800'!$A$7:$AB$188,25,FALSE)))))</f>
        <v>0.35213639399517821</v>
      </c>
      <c r="G14" s="26">
        <f t="shared" si="8"/>
        <v>2.4049866325640381</v>
      </c>
      <c r="I14" s="127">
        <f t="shared" si="1"/>
        <v>15.403662178846629</v>
      </c>
      <c r="J14" s="25">
        <f>IF(A14&gt;200,"",(C14*'Adj-Mixed'!$C$6))</f>
        <v>473.92186111835258</v>
      </c>
      <c r="K14" s="26">
        <f>IF(A14&gt;200,"",D14*'Adj-Mixed'!$C$7)</f>
        <v>0.53682156303802764</v>
      </c>
      <c r="L14" s="1">
        <f t="shared" si="2"/>
        <v>1.8628163785759879</v>
      </c>
      <c r="M14" s="26">
        <f t="shared" si="3"/>
        <v>0.88282940505648189</v>
      </c>
      <c r="N14" s="115">
        <f t="shared" si="7"/>
        <v>6.0294617489164715</v>
      </c>
    </row>
    <row r="15" spans="1:14" ht="15" customHeight="1" x14ac:dyDescent="0.25">
      <c r="A15" s="22">
        <f t="shared" si="4"/>
        <v>33</v>
      </c>
      <c r="B15" s="27">
        <f>IF(A15&gt;200,"",IF($C$1='Adj-Mixed'!$A$21,VLOOKUP(A15,'800'!$A$6:$AB$188,4,FALSE),IF($C$1='Adj-Mixed'!$A$20,VLOOKUP(A15,'800'!$A$6:$AB$188,13,FALSE),IF($C$1='Adj-Mixed'!$A$19,VLOOKUP(A15,'800'!$A$6:$AB$188,22,FALSE)))))</f>
        <v>8.6195273922416717</v>
      </c>
      <c r="C15" s="25">
        <f t="shared" si="5"/>
        <v>320.14420302845537</v>
      </c>
      <c r="D15" s="26">
        <f t="shared" si="6"/>
        <v>0.84505858894438823</v>
      </c>
      <c r="E15" s="26">
        <f>IF(A15&gt;200,"",IF($C$1='Adj-Mixed'!$A$21,VLOOKUP(A15,'800'!$A$7:$AB$188,10,FALSE),IF($C$1='Adj-Mixed'!$A$20,VLOOKUP(A15,'800'!$A$7:$AB$188,19,FALSE),IF($C$1='Adj-Mixed'!$A$19,VLOOKUP(A15,'800'!$A$7:$AB$188,28,FALSE)))))</f>
        <v>1.1833499038796329</v>
      </c>
      <c r="F15" s="26">
        <f>IF(A15&gt;200,"",IF($C$1='Adj-Mixed'!$A$21,VLOOKUP(A15,'800'!$A$7:$AB$188,7,FALSE),IF($C$1='Adj-Mixed'!$A$20,VLOOKUP(A15,'800'!$A$7:$AB$188,16,FALSE),IF($C$1='Adj-Mixed'!$A$19,VLOOKUP(A15,'800'!$A$7:$AB$188,25,FALSE)))))</f>
        <v>0.37884261188134438</v>
      </c>
      <c r="G15" s="26">
        <f t="shared" si="8"/>
        <v>2.7838292444453825</v>
      </c>
      <c r="I15" s="127">
        <f t="shared" si="1"/>
        <v>15.906828133596584</v>
      </c>
      <c r="J15" s="25">
        <f>IF(A15&gt;200,"",(C15*'Adj-Mixed'!$C$6))</f>
        <v>503.16595474995506</v>
      </c>
      <c r="K15" s="26">
        <f>IF(A15&gt;200,"",D15*'Adj-Mixed'!$C$7)</f>
        <v>0.5297690085611495</v>
      </c>
      <c r="L15" s="1">
        <f t="shared" si="2"/>
        <v>1.8876151376162904</v>
      </c>
      <c r="M15" s="26">
        <f t="shared" si="3"/>
        <v>0.94978367291916865</v>
      </c>
      <c r="N15" s="115">
        <f t="shared" si="7"/>
        <v>6.9792454218356399</v>
      </c>
    </row>
    <row r="16" spans="1:14" ht="15" customHeight="1" x14ac:dyDescent="0.25">
      <c r="A16" s="22">
        <f t="shared" si="4"/>
        <v>34</v>
      </c>
      <c r="B16" s="27">
        <f>IF(A16&gt;200,"",IF($C$1='Adj-Mixed'!$A$21,VLOOKUP(A16,'800'!$A$6:$AB$188,4,FALSE),IF($C$1='Adj-Mixed'!$A$20,VLOOKUP(A16,'800'!$A$6:$AB$188,13,FALSE),IF($C$1='Adj-Mixed'!$A$19,VLOOKUP(A16,'800'!$A$6:$AB$188,22,FALSE)))))</f>
        <v>8.957696968893039</v>
      </c>
      <c r="C16" s="25">
        <f t="shared" si="5"/>
        <v>338.16957665136727</v>
      </c>
      <c r="D16" s="26">
        <f t="shared" si="6"/>
        <v>0.83385662053378429</v>
      </c>
      <c r="E16" s="26">
        <f>IF(A16&gt;200,"",IF($C$1='Adj-Mixed'!$A$21,VLOOKUP(A16,'800'!$A$7:$AB$188,10,FALSE),IF($C$1='Adj-Mixed'!$A$20,VLOOKUP(A16,'800'!$A$7:$AB$188,19,FALSE),IF($C$1='Adj-Mixed'!$A$19,VLOOKUP(A16,'800'!$A$7:$AB$188,28,FALSE)))))</f>
        <v>1.1992469393117737</v>
      </c>
      <c r="F16" s="26">
        <f>IF(A16&gt;200,"",IF($C$1='Adj-Mixed'!$A$21,VLOOKUP(A16,'800'!$A$7:$AB$188,7,FALSE),IF($C$1='Adj-Mixed'!$A$20,VLOOKUP(A16,'800'!$A$7:$AB$188,16,FALSE),IF($C$1='Adj-Mixed'!$A$19,VLOOKUP(A16,'800'!$A$7:$AB$188,25,FALSE)))))</f>
        <v>0.40554882976751044</v>
      </c>
      <c r="G16" s="26">
        <f t="shared" si="8"/>
        <v>3.1893780742128928</v>
      </c>
      <c r="I16" s="127">
        <f t="shared" si="1"/>
        <v>16.438324304052149</v>
      </c>
      <c r="J16" s="25">
        <f>IF(A16&gt;200,"",(C16*'Adj-Mixed'!$C$6))</f>
        <v>531.49617045556624</v>
      </c>
      <c r="K16" s="26">
        <f>IF(A16&gt;200,"",D16*'Adj-Mixed'!$C$7)</f>
        <v>0.52274647098037408</v>
      </c>
      <c r="L16" s="1">
        <f t="shared" si="2"/>
        <v>1.9129732203157119</v>
      </c>
      <c r="M16" s="26">
        <f t="shared" si="3"/>
        <v>1.0167379407818531</v>
      </c>
      <c r="N16" s="115">
        <f t="shared" si="7"/>
        <v>7.9959833626174932</v>
      </c>
    </row>
    <row r="17" spans="1:14" ht="15" customHeight="1" x14ac:dyDescent="0.25">
      <c r="A17" s="22">
        <f t="shared" si="4"/>
        <v>35</v>
      </c>
      <c r="B17" s="27">
        <f>IF(A17&gt;200,"",IF($C$1='Adj-Mixed'!$A$21,VLOOKUP(A17,'800'!$A$6:$AB$188,4,FALSE),IF($C$1='Adj-Mixed'!$A$20,VLOOKUP(A17,'800'!$A$6:$AB$188,13,FALSE),IF($C$1='Adj-Mixed'!$A$19,VLOOKUP(A17,'800'!$A$6:$AB$188,22,FALSE)))))</f>
        <v>9.3133104555020658</v>
      </c>
      <c r="C17" s="25">
        <f t="shared" si="5"/>
        <v>355.61348660902684</v>
      </c>
      <c r="D17" s="26">
        <f t="shared" si="6"/>
        <v>0.82269365861505006</v>
      </c>
      <c r="E17" s="26">
        <f>IF(A17&gt;200,"",IF($C$1='Adj-Mixed'!$A$21,VLOOKUP(A17,'800'!$A$7:$AB$188,10,FALSE),IF($C$1='Adj-Mixed'!$A$20,VLOOKUP(A17,'800'!$A$7:$AB$188,19,FALSE),IF($C$1='Adj-Mixed'!$A$19,VLOOKUP(A17,'800'!$A$7:$AB$188,28,FALSE)))))</f>
        <v>1.2155192756480382</v>
      </c>
      <c r="F17" s="26">
        <f>IF(A17&gt;200,"",IF($C$1='Adj-Mixed'!$A$21,VLOOKUP(A17,'800'!$A$7:$AB$188,7,FALSE),IF($C$1='Adj-Mixed'!$A$20,VLOOKUP(A17,'800'!$A$7:$AB$188,16,FALSE),IF($C$1='Adj-Mixed'!$A$19,VLOOKUP(A17,'800'!$A$7:$AB$188,25,FALSE)))))</f>
        <v>0.43225504765367651</v>
      </c>
      <c r="G17" s="26">
        <f t="shared" si="8"/>
        <v>3.6216331218665694</v>
      </c>
      <c r="I17" s="127">
        <f t="shared" si="1"/>
        <v>16.997236812287344</v>
      </c>
      <c r="J17" s="25">
        <f>IF(A17&gt;200,"",(C17*'Adj-Mixed'!$C$6))</f>
        <v>558.91250823519454</v>
      </c>
      <c r="K17" s="26">
        <f>IF(A17&gt;200,"",D17*'Adj-Mixed'!$C$7)</f>
        <v>0.51574838665147449</v>
      </c>
      <c r="L17" s="1">
        <f t="shared" si="2"/>
        <v>1.9389299625202057</v>
      </c>
      <c r="M17" s="26">
        <f t="shared" si="3"/>
        <v>1.08369220864454</v>
      </c>
      <c r="N17" s="115">
        <f t="shared" si="7"/>
        <v>9.0796755712620332</v>
      </c>
    </row>
    <row r="18" spans="1:14" ht="15" customHeight="1" x14ac:dyDescent="0.25">
      <c r="A18" s="22">
        <f t="shared" si="4"/>
        <v>36</v>
      </c>
      <c r="B18" s="27">
        <f>IF(A18&gt;200,"",IF($C$1='Adj-Mixed'!$A$21,VLOOKUP(A18,'800'!$A$6:$AB$188,4,FALSE),IF($C$1='Adj-Mixed'!$A$20,VLOOKUP(A18,'800'!$A$6:$AB$188,13,FALSE),IF($C$1='Adj-Mixed'!$A$19,VLOOKUP(A18,'800'!$A$6:$AB$188,22,FALSE)))))</f>
        <v>9.6857863884034927</v>
      </c>
      <c r="C18" s="25">
        <f t="shared" si="5"/>
        <v>372.47593290142686</v>
      </c>
      <c r="D18" s="26">
        <f t="shared" si="6"/>
        <v>0.81156289401309423</v>
      </c>
      <c r="E18" s="26">
        <f>IF(A18&gt;200,"",IF($C$1='Adj-Mixed'!$A$21,VLOOKUP(A18,'800'!$A$7:$AB$188,10,FALSE),IF($C$1='Adj-Mixed'!$A$20,VLOOKUP(A18,'800'!$A$7:$AB$188,19,FALSE),IF($C$1='Adj-Mixed'!$A$19,VLOOKUP(A18,'800'!$A$7:$AB$188,28,FALSE)))))</f>
        <v>1.232190391375712</v>
      </c>
      <c r="F18" s="26">
        <f>IF(A18&gt;200,"",IF($C$1='Adj-Mixed'!$A$21,VLOOKUP(A18,'800'!$A$7:$AB$188,7,FALSE),IF($C$1='Adj-Mixed'!$A$20,VLOOKUP(A18,'800'!$A$7:$AB$188,16,FALSE),IF($C$1='Adj-Mixed'!$A$19,VLOOKUP(A18,'800'!$A$7:$AB$188,25,FALSE)))))</f>
        <v>0.45896126553984262</v>
      </c>
      <c r="G18" s="26">
        <f t="shared" si="8"/>
        <v>4.0805943874064123</v>
      </c>
      <c r="I18" s="127">
        <f t="shared" si="1"/>
        <v>17.582651780376171</v>
      </c>
      <c r="J18" s="25">
        <f>IF(A18&gt;200,"",(C18*'Adj-Mixed'!$C$6))</f>
        <v>585.41496808882857</v>
      </c>
      <c r="K18" s="26">
        <f>IF(A18&gt;200,"",D18*'Adj-Mixed'!$C$7)</f>
        <v>0.50877048688825033</v>
      </c>
      <c r="L18" s="1">
        <f t="shared" si="2"/>
        <v>1.9655228158304052</v>
      </c>
      <c r="M18" s="26">
        <f t="shared" si="3"/>
        <v>1.1506464765072211</v>
      </c>
      <c r="N18" s="115">
        <f t="shared" si="7"/>
        <v>10.230322047769254</v>
      </c>
    </row>
    <row r="19" spans="1:14" ht="15" customHeight="1" x14ac:dyDescent="0.25">
      <c r="A19" s="22">
        <f t="shared" si="4"/>
        <v>37</v>
      </c>
      <c r="B19" s="27">
        <f>IF(A19&gt;200,"",IF($C$1='Adj-Mixed'!$A$21,VLOOKUP(A19,'800'!$A$6:$AB$188,4,FALSE),IF($C$1='Adj-Mixed'!$A$20,VLOOKUP(A19,'800'!$A$6:$AB$188,13,FALSE),IF($C$1='Adj-Mixed'!$A$19,VLOOKUP(A19,'800'!$A$6:$AB$188,22,FALSE)))))</f>
        <v>10.074543303932067</v>
      </c>
      <c r="C19" s="25">
        <f t="shared" si="5"/>
        <v>388.75691552857461</v>
      </c>
      <c r="D19" s="26">
        <f t="shared" si="6"/>
        <v>0.80045901526327234</v>
      </c>
      <c r="E19" s="26">
        <f>IF(A19&gt;200,"",IF($C$1='Adj-Mixed'!$A$21,VLOOKUP(A19,'800'!$A$7:$AB$188,10,FALSE),IF($C$1='Adj-Mixed'!$A$20,VLOOKUP(A19,'800'!$A$7:$AB$188,19,FALSE),IF($C$1='Adj-Mixed'!$A$19,VLOOKUP(A19,'800'!$A$7:$AB$188,28,FALSE)))))</f>
        <v>1.2492831999288536</v>
      </c>
      <c r="F19" s="26">
        <f>IF(A19&gt;200,"",IF($C$1='Adj-Mixed'!$A$21,VLOOKUP(A19,'800'!$A$7:$AB$188,7,FALSE),IF($C$1='Adj-Mixed'!$A$20,VLOOKUP(A19,'800'!$A$7:$AB$188,16,FALSE),IF($C$1='Adj-Mixed'!$A$19,VLOOKUP(A19,'800'!$A$7:$AB$188,25,FALSE)))))</f>
        <v>0.48566748342600874</v>
      </c>
      <c r="G19" s="26">
        <f t="shared" si="8"/>
        <v>4.5662618708324212</v>
      </c>
      <c r="I19" s="127">
        <f t="shared" si="1"/>
        <v>18.193655330392652</v>
      </c>
      <c r="J19" s="25">
        <f>IF(A19&gt;200,"",(C19*'Adj-Mixed'!$C$6))</f>
        <v>611.00355001647972</v>
      </c>
      <c r="K19" s="26">
        <f>IF(A19&gt;200,"",D19*'Adj-Mixed'!$C$7)</f>
        <v>0.50180944192233312</v>
      </c>
      <c r="L19" s="1">
        <f t="shared" si="2"/>
        <v>1.9927883305048963</v>
      </c>
      <c r="M19" s="26">
        <f t="shared" si="3"/>
        <v>1.2176007443699057</v>
      </c>
      <c r="N19" s="115">
        <f t="shared" si="7"/>
        <v>11.44792279213916</v>
      </c>
    </row>
    <row r="20" spans="1:14" ht="15" customHeight="1" x14ac:dyDescent="0.25">
      <c r="A20" s="22">
        <f t="shared" si="4"/>
        <v>38</v>
      </c>
      <c r="B20" s="27">
        <f>IF(A20&gt;200,"",IF($C$1='Adj-Mixed'!$A$21,VLOOKUP(A20,'800'!$A$6:$AB$188,4,FALSE),IF($C$1='Adj-Mixed'!$A$20,VLOOKUP(A20,'800'!$A$6:$AB$188,13,FALSE),IF($C$1='Adj-Mixed'!$A$19,VLOOKUP(A20,'800'!$A$6:$AB$188,22,FALSE)))))</f>
        <v>10.478999738422534</v>
      </c>
      <c r="C20" s="25">
        <f t="shared" si="5"/>
        <v>404.45643449046645</v>
      </c>
      <c r="D20" s="26">
        <f t="shared" si="6"/>
        <v>0.78937781828900255</v>
      </c>
      <c r="E20" s="26">
        <f>IF(A20&gt;200,"",IF($C$1='Adj-Mixed'!$A$21,VLOOKUP(A20,'800'!$A$7:$AB$188,10,FALSE),IF($C$1='Adj-Mixed'!$A$20,VLOOKUP(A20,'800'!$A$7:$AB$188,19,FALSE),IF($C$1='Adj-Mixed'!$A$19,VLOOKUP(A20,'800'!$A$7:$AB$188,28,FALSE)))))</f>
        <v>1.2668204968914969</v>
      </c>
      <c r="F20" s="26">
        <f>IF(A20&gt;200,"",IF($C$1='Adj-Mixed'!$A$21,VLOOKUP(A20,'800'!$A$7:$AB$188,7,FALSE),IF($C$1='Adj-Mixed'!$A$20,VLOOKUP(A20,'800'!$A$7:$AB$188,16,FALSE),IF($C$1='Adj-Mixed'!$A$19,VLOOKUP(A20,'800'!$A$7:$AB$188,25,FALSE)))))</f>
        <v>0.51237370131217475</v>
      </c>
      <c r="G20" s="26">
        <f t="shared" si="8"/>
        <v>5.0786355721445959</v>
      </c>
      <c r="I20" s="127">
        <f t="shared" si="1"/>
        <v>18.829333584410794</v>
      </c>
      <c r="J20" s="25">
        <f>IF(A20&gt;200,"",(C20*'Adj-Mixed'!$C$6))</f>
        <v>635.67825401814241</v>
      </c>
      <c r="K20" s="26">
        <f>IF(A20&gt;200,"",D20*'Adj-Mixed'!$C$7)</f>
        <v>0.49486261620926292</v>
      </c>
      <c r="L20" s="1">
        <f t="shared" si="2"/>
        <v>2.0207628688143404</v>
      </c>
      <c r="M20" s="26">
        <f t="shared" si="3"/>
        <v>1.2845550122325924</v>
      </c>
      <c r="N20" s="115">
        <f t="shared" si="7"/>
        <v>12.732477804371753</v>
      </c>
    </row>
    <row r="21" spans="1:14" ht="15" customHeight="1" x14ac:dyDescent="0.25">
      <c r="A21" s="22">
        <f t="shared" si="4"/>
        <v>39</v>
      </c>
      <c r="B21" s="27">
        <f>IF(A21&gt;200,"",IF($C$1='Adj-Mixed'!$A$21,VLOOKUP(A21,'800'!$A$6:$AB$188,4,FALSE),IF($C$1='Adj-Mixed'!$A$20,VLOOKUP(A21,'800'!$A$6:$AB$188,13,FALSE),IF($C$1='Adj-Mixed'!$A$19,VLOOKUP(A21,'800'!$A$6:$AB$188,22,FALSE)))))</f>
        <v>10.898574228209638</v>
      </c>
      <c r="C21" s="25">
        <f t="shared" si="5"/>
        <v>419.57448978710408</v>
      </c>
      <c r="D21" s="26">
        <f t="shared" si="6"/>
        <v>0.77831593209973204</v>
      </c>
      <c r="E21" s="26">
        <f>IF(A21&gt;200,"",IF($C$1='Adj-Mixed'!$A$21,VLOOKUP(A21,'800'!$A$7:$AB$188,10,FALSE),IF($C$1='Adj-Mixed'!$A$20,VLOOKUP(A21,'800'!$A$7:$AB$188,19,FALSE),IF($C$1='Adj-Mixed'!$A$19,VLOOKUP(A21,'800'!$A$7:$AB$188,28,FALSE)))))</f>
        <v>1.2848252987732258</v>
      </c>
      <c r="F21" s="26">
        <f>IF(A21&gt;200,"",IF($C$1='Adj-Mixed'!$A$21,VLOOKUP(A21,'800'!$A$7:$AB$188,7,FALSE),IF($C$1='Adj-Mixed'!$A$20,VLOOKUP(A21,'800'!$A$7:$AB$188,16,FALSE),IF($C$1='Adj-Mixed'!$A$19,VLOOKUP(A21,'800'!$A$7:$AB$188,25,FALSE)))))</f>
        <v>0.53907991919834086</v>
      </c>
      <c r="G21" s="26">
        <f t="shared" si="8"/>
        <v>5.6177154913429366</v>
      </c>
      <c r="I21" s="127">
        <f t="shared" si="1"/>
        <v>19.488772664504612</v>
      </c>
      <c r="J21" s="25">
        <f>IF(A21&gt;200,"",(C21*'Adj-Mixed'!$C$6))</f>
        <v>659.43908009381926</v>
      </c>
      <c r="K21" s="26">
        <f>IF(A21&gt;200,"",D21*'Adj-Mixed'!$C$7)</f>
        <v>0.48792789646796492</v>
      </c>
      <c r="L21" s="1">
        <f t="shared" si="2"/>
        <v>2.0494831454377715</v>
      </c>
      <c r="M21" s="26">
        <f t="shared" si="3"/>
        <v>1.351509280095271</v>
      </c>
      <c r="N21" s="115">
        <f t="shared" si="7"/>
        <v>14.083987084467024</v>
      </c>
    </row>
    <row r="22" spans="1:14" ht="15" customHeight="1" x14ac:dyDescent="0.25">
      <c r="A22" s="22">
        <f t="shared" si="4"/>
        <v>40</v>
      </c>
      <c r="B22" s="27">
        <f>IF(A22&gt;200,"",IF($C$1='Adj-Mixed'!$A$21,VLOOKUP(A22,'800'!$A$6:$AB$188,4,FALSE),IF($C$1='Adj-Mixed'!$A$20,VLOOKUP(A22,'800'!$A$6:$AB$188,13,FALSE),IF($C$1='Adj-Mixed'!$A$19,VLOOKUP(A22,'800'!$A$6:$AB$188,22,FALSE)))))</f>
        <v>11.33268530962812</v>
      </c>
      <c r="C22" s="25">
        <f t="shared" si="5"/>
        <v>434.11108141848229</v>
      </c>
      <c r="D22" s="26">
        <f t="shared" si="6"/>
        <v>0.76727062217440412</v>
      </c>
      <c r="E22" s="26">
        <f>IF(A22&gt;200,"",IF($C$1='Adj-Mixed'!$A$21,VLOOKUP(A22,'800'!$A$7:$AB$188,10,FALSE),IF($C$1='Adj-Mixed'!$A$20,VLOOKUP(A22,'800'!$A$7:$AB$188,19,FALSE),IF($C$1='Adj-Mixed'!$A$19,VLOOKUP(A22,'800'!$A$7:$AB$188,28,FALSE)))))</f>
        <v>1.3033211113518894</v>
      </c>
      <c r="F22" s="26">
        <f>IF(A22&gt;200,"",IF($C$1='Adj-Mixed'!$A$21,VLOOKUP(A22,'800'!$A$7:$AB$188,7,FALSE),IF($C$1='Adj-Mixed'!$A$20,VLOOKUP(A22,'800'!$A$7:$AB$188,16,FALSE),IF($C$1='Adj-Mixed'!$A$19,VLOOKUP(A22,'800'!$A$7:$AB$188,25,FALSE)))))</f>
        <v>0.56578613708450698</v>
      </c>
      <c r="G22" s="26">
        <f t="shared" si="8"/>
        <v>6.1835016284274431</v>
      </c>
      <c r="I22" s="127">
        <f t="shared" si="1"/>
        <v>20.171058692748115</v>
      </c>
      <c r="J22" s="25">
        <f>IF(A22&gt;200,"",(C22*'Adj-Mixed'!$C$6))</f>
        <v>682.28602824350196</v>
      </c>
      <c r="K22" s="26">
        <f>IF(A22&gt;200,"",D22*'Adj-Mixed'!$C$7)</f>
        <v>0.48100356842143144</v>
      </c>
      <c r="L22" s="1">
        <f t="shared" si="2"/>
        <v>2.0789866555082388</v>
      </c>
      <c r="M22" s="26">
        <f t="shared" si="3"/>
        <v>1.4184635479579577</v>
      </c>
      <c r="N22" s="115">
        <f t="shared" si="7"/>
        <v>15.502450632424981</v>
      </c>
    </row>
    <row r="23" spans="1:14" ht="15" customHeight="1" x14ac:dyDescent="0.25">
      <c r="A23" s="22">
        <f t="shared" si="4"/>
        <v>41</v>
      </c>
      <c r="B23" s="27">
        <f>IF(A23&gt;200,"",IF($C$1='Adj-Mixed'!$A$21,VLOOKUP(A23,'800'!$A$6:$AB$188,4,FALSE),IF($C$1='Adj-Mixed'!$A$20,VLOOKUP(A23,'800'!$A$6:$AB$188,13,FALSE),IF($C$1='Adj-Mixed'!$A$19,VLOOKUP(A23,'800'!$A$6:$AB$188,22,FALSE)))))</f>
        <v>11.780751519012732</v>
      </c>
      <c r="C23" s="25">
        <f t="shared" si="5"/>
        <v>448.06620938461174</v>
      </c>
      <c r="D23" s="26">
        <f t="shared" si="6"/>
        <v>0.76311906882242153</v>
      </c>
      <c r="E23" s="26">
        <f>IF(A23&gt;200,"",IF($C$1='Adj-Mixed'!$A$21,VLOOKUP(A23,'800'!$A$7:$AB$188,10,FALSE),IF($C$1='Adj-Mixed'!$A$20,VLOOKUP(A23,'800'!$A$7:$AB$188,19,FALSE),IF($C$1='Adj-Mixed'!$A$19,VLOOKUP(A23,'800'!$A$7:$AB$188,28,FALSE)))))</f>
        <v>1.310411495211504</v>
      </c>
      <c r="F23" s="26">
        <f>IF(A23&gt;200,"",IF($C$1='Adj-Mixed'!$A$21,VLOOKUP(A23,'800'!$A$7:$AB$188,7,FALSE),IF($C$1='Adj-Mixed'!$A$20,VLOOKUP(A23,'800'!$A$7:$AB$188,16,FALSE),IF($C$1='Adj-Mixed'!$A$19,VLOOKUP(A23,'800'!$A$7:$AB$188,25,FALSE)))))</f>
        <v>0.5871511113934399</v>
      </c>
      <c r="G23" s="26">
        <f t="shared" si="8"/>
        <v>6.7706527398208829</v>
      </c>
      <c r="I23" s="127">
        <f t="shared" si="1"/>
        <v>20.875277791215321</v>
      </c>
      <c r="J23" s="25">
        <f>IF(A23&gt;200,"",(C23*'Adj-Mixed'!$C$6))</f>
        <v>704.21909846720735</v>
      </c>
      <c r="K23" s="26">
        <f>IF(A23&gt;200,"",D23*'Adj-Mixed'!$C$7)</f>
        <v>0.47840095088456236</v>
      </c>
      <c r="L23" s="1">
        <f t="shared" si="2"/>
        <v>2.0902968485973994</v>
      </c>
      <c r="M23" s="26">
        <f t="shared" si="3"/>
        <v>1.4720269622481053</v>
      </c>
      <c r="N23" s="115">
        <f t="shared" si="7"/>
        <v>16.974477594673086</v>
      </c>
    </row>
    <row r="24" spans="1:14" ht="15" customHeight="1" x14ac:dyDescent="0.25">
      <c r="A24" s="22">
        <f t="shared" si="4"/>
        <v>42</v>
      </c>
      <c r="B24" s="27">
        <f>IF(A24&gt;200,"",IF($C$1='Adj-Mixed'!$A$21,VLOOKUP(A24,'800'!$A$6:$AB$188,4,FALSE),IF($C$1='Adj-Mixed'!$A$20,VLOOKUP(A24,'800'!$A$6:$AB$188,13,FALSE),IF($C$1='Adj-Mixed'!$A$19,VLOOKUP(A24,'800'!$A$6:$AB$188,22,FALSE)))))</f>
        <v>12.242191392698214</v>
      </c>
      <c r="C24" s="25">
        <f t="shared" si="5"/>
        <v>461.43987368548164</v>
      </c>
      <c r="D24" s="26">
        <f t="shared" si="6"/>
        <v>0.75830349357629412</v>
      </c>
      <c r="E24" s="26">
        <f>IF(A24&gt;200,"",IF($C$1='Adj-Mixed'!$A$21,VLOOKUP(A24,'800'!$A$7:$AB$188,10,FALSE),IF($C$1='Adj-Mixed'!$A$20,VLOOKUP(A24,'800'!$A$7:$AB$188,19,FALSE),IF($C$1='Adj-Mixed'!$A$19,VLOOKUP(A24,'800'!$A$7:$AB$188,28,FALSE)))))</f>
        <v>1.3187332096860351</v>
      </c>
      <c r="F24" s="26">
        <f>IF(A24&gt;200,"",IF($C$1='Adj-Mixed'!$A$21,VLOOKUP(A24,'800'!$A$7:$AB$188,7,FALSE),IF($C$1='Adj-Mixed'!$A$20,VLOOKUP(A24,'800'!$A$7:$AB$188,16,FALSE),IF($C$1='Adj-Mixed'!$A$19,VLOOKUP(A24,'800'!$A$7:$AB$188,25,FALSE)))))</f>
        <v>0.6085160857023727</v>
      </c>
      <c r="G24" s="26">
        <f t="shared" si="8"/>
        <v>7.3791688255232559</v>
      </c>
      <c r="I24" s="127">
        <f t="shared" si="1"/>
        <v>21.600516081980238</v>
      </c>
      <c r="J24" s="25">
        <f>IF(A24&gt;200,"",(C24*'Adj-Mixed'!$C$6))</f>
        <v>725.23829076491859</v>
      </c>
      <c r="K24" s="26">
        <f>IF(A24&gt;200,"",D24*'Adj-Mixed'!$C$7)</f>
        <v>0.47538205662424921</v>
      </c>
      <c r="L24" s="1">
        <f t="shared" si="2"/>
        <v>2.10357119303394</v>
      </c>
      <c r="M24" s="26">
        <f t="shared" si="3"/>
        <v>1.5255903765382555</v>
      </c>
      <c r="N24" s="115">
        <f t="shared" si="7"/>
        <v>18.50006797121134</v>
      </c>
    </row>
    <row r="25" spans="1:14" ht="15" customHeight="1" x14ac:dyDescent="0.25">
      <c r="A25" s="22">
        <f t="shared" si="4"/>
        <v>43</v>
      </c>
      <c r="B25" s="27">
        <f>IF(A25&gt;200,"",IF($C$1='Adj-Mixed'!$A$21,VLOOKUP(A25,'800'!$A$6:$AB$188,4,FALSE),IF($C$1='Adj-Mixed'!$A$20,VLOOKUP(A25,'800'!$A$6:$AB$188,13,FALSE),IF($C$1='Adj-Mixed'!$A$19,VLOOKUP(A25,'800'!$A$6:$AB$188,22,FALSE)))))</f>
        <v>12.713963679156505</v>
      </c>
      <c r="C25" s="25">
        <f t="shared" si="5"/>
        <v>471.77228645829138</v>
      </c>
      <c r="D25" s="26">
        <f t="shared" si="6"/>
        <v>0.74898630298524072</v>
      </c>
      <c r="E25" s="26">
        <f>IF(A25&gt;200,"",IF($C$1='Adj-Mixed'!$A$21,VLOOKUP(A25,'800'!$A$7:$AB$188,10,FALSE),IF($C$1='Adj-Mixed'!$A$20,VLOOKUP(A25,'800'!$A$7:$AB$188,19,FALSE),IF($C$1='Adj-Mixed'!$A$19,VLOOKUP(A25,'800'!$A$7:$AB$188,28,FALSE)))))</f>
        <v>1.3351379004052437</v>
      </c>
      <c r="F25" s="26">
        <f>IF(A25&gt;200,"",IF($C$1='Adj-Mixed'!$A$21,VLOOKUP(A25,'800'!$A$7:$AB$188,7,FALSE),IF($C$1='Adj-Mixed'!$A$20,VLOOKUP(A25,'800'!$A$7:$AB$188,16,FALSE),IF($C$1='Adj-Mixed'!$A$19,VLOOKUP(A25,'800'!$A$7:$AB$188,25,FALSE)))))</f>
        <v>0.6298810600113055</v>
      </c>
      <c r="G25" s="26">
        <f t="shared" si="8"/>
        <v>8.0090498855345622</v>
      </c>
      <c r="I25" s="127">
        <f t="shared" si="1"/>
        <v>22.341993674561405</v>
      </c>
      <c r="J25" s="25">
        <f>IF(A25&gt;200,"",(C25*'Adj-Mixed'!$C$6))</f>
        <v>741.47759258116707</v>
      </c>
      <c r="K25" s="26">
        <f>IF(A25&gt;200,"",D25*'Adj-Mixed'!$C$7)</f>
        <v>0.4695410902266845</v>
      </c>
      <c r="L25" s="1">
        <f t="shared" si="2"/>
        <v>2.1297390597215275</v>
      </c>
      <c r="M25" s="26">
        <f t="shared" si="3"/>
        <v>1.5791537908283968</v>
      </c>
      <c r="N25" s="115">
        <f t="shared" si="7"/>
        <v>20.079221762039737</v>
      </c>
    </row>
    <row r="26" spans="1:14" ht="15" customHeight="1" x14ac:dyDescent="0.25">
      <c r="A26" s="22">
        <f t="shared" si="4"/>
        <v>44</v>
      </c>
      <c r="B26" s="27">
        <f>IF(A26&gt;200,"",IF($C$1='Adj-Mixed'!$A$21,VLOOKUP(A26,'800'!$A$6:$AB$188,4,FALSE),IF($C$1='Adj-Mixed'!$A$20,VLOOKUP(A26,'800'!$A$6:$AB$188,13,FALSE),IF($C$1='Adj-Mixed'!$A$19,VLOOKUP(A26,'800'!$A$6:$AB$188,22,FALSE)))))</f>
        <v>13.196299738440771</v>
      </c>
      <c r="C26" s="25">
        <f t="shared" si="5"/>
        <v>482.33605928426647</v>
      </c>
      <c r="D26" s="26">
        <f t="shared" si="6"/>
        <v>0.7406356950606573</v>
      </c>
      <c r="E26" s="26">
        <f>IF(A26&gt;200,"",IF($C$1='Adj-Mixed'!$A$21,VLOOKUP(A26,'800'!$A$7:$AB$188,10,FALSE),IF($C$1='Adj-Mixed'!$A$20,VLOOKUP(A26,'800'!$A$7:$AB$188,19,FALSE),IF($C$1='Adj-Mixed'!$A$19,VLOOKUP(A26,'800'!$A$7:$AB$188,28,FALSE)))))</f>
        <v>1.3501914729050442</v>
      </c>
      <c r="F26" s="26">
        <f>IF(A26&gt;200,"",IF($C$1='Adj-Mixed'!$A$21,VLOOKUP(A26,'800'!$A$7:$AB$188,7,FALSE),IF($C$1='Adj-Mixed'!$A$20,VLOOKUP(A26,'800'!$A$7:$AB$188,16,FALSE),IF($C$1='Adj-Mixed'!$A$19,VLOOKUP(A26,'800'!$A$7:$AB$188,25,FALSE)))))</f>
        <v>0.65124603432023842</v>
      </c>
      <c r="G26" s="26">
        <f t="shared" si="8"/>
        <v>8.6602959198548</v>
      </c>
      <c r="I26" s="127">
        <f t="shared" si="1"/>
        <v>23.10007419416565</v>
      </c>
      <c r="J26" s="25">
        <f>IF(A26&gt;200,"",(C26*'Adj-Mixed'!$C$6))</f>
        <v>758.08051960424666</v>
      </c>
      <c r="K26" s="26">
        <f>IF(A26&gt;200,"",D26*'Adj-Mixed'!$C$7)</f>
        <v>0.46430607653773354</v>
      </c>
      <c r="L26" s="1">
        <f t="shared" si="2"/>
        <v>2.1537516964172907</v>
      </c>
      <c r="M26" s="26">
        <f t="shared" si="3"/>
        <v>1.6327172051185472</v>
      </c>
      <c r="N26" s="115">
        <f t="shared" si="7"/>
        <v>21.711938967158282</v>
      </c>
    </row>
    <row r="27" spans="1:14" ht="15" customHeight="1" x14ac:dyDescent="0.25">
      <c r="A27" s="22">
        <f t="shared" si="4"/>
        <v>45</v>
      </c>
      <c r="B27" s="27">
        <f>IF(A27&gt;200,"",IF($C$1='Adj-Mixed'!$A$21,VLOOKUP(A27,'800'!$A$6:$AB$188,4,FALSE),IF($C$1='Adj-Mixed'!$A$20,VLOOKUP(A27,'800'!$A$6:$AB$188,13,FALSE),IF($C$1='Adj-Mixed'!$A$19,VLOOKUP(A27,'800'!$A$6:$AB$188,22,FALSE)))))</f>
        <v>13.689436111143843</v>
      </c>
      <c r="C27" s="25">
        <f t="shared" si="5"/>
        <v>493.13637270307174</v>
      </c>
      <c r="D27" s="26">
        <f t="shared" si="6"/>
        <v>0.7331672636582599</v>
      </c>
      <c r="E27" s="26">
        <f>IF(A27&gt;200,"",IF($C$1='Adj-Mixed'!$A$21,VLOOKUP(A27,'800'!$A$7:$AB$188,10,FALSE),IF($C$1='Adj-Mixed'!$A$20,VLOOKUP(A27,'800'!$A$7:$AB$188,19,FALSE),IF($C$1='Adj-Mixed'!$A$19,VLOOKUP(A27,'800'!$A$7:$AB$188,28,FALSE)))))</f>
        <v>1.3639452408313129</v>
      </c>
      <c r="F27" s="26">
        <f>IF(A27&gt;200,"",IF($C$1='Adj-Mixed'!$A$21,VLOOKUP(A27,'800'!$A$7:$AB$188,7,FALSE),IF($C$1='Adj-Mixed'!$A$20,VLOOKUP(A27,'800'!$A$7:$AB$188,16,FALSE),IF($C$1='Adj-Mixed'!$A$19,VLOOKUP(A27,'800'!$A$7:$AB$188,25,FALSE)))))</f>
        <v>0.67261100862917123</v>
      </c>
      <c r="G27" s="26">
        <f t="shared" si="8"/>
        <v>9.3329069284839719</v>
      </c>
      <c r="I27" s="127">
        <f t="shared" si="1"/>
        <v>23.875129408178118</v>
      </c>
      <c r="J27" s="25">
        <f>IF(A27&gt;200,"",(C27*'Adj-Mixed'!$C$6))</f>
        <v>775.05521401246892</v>
      </c>
      <c r="K27" s="26">
        <f>IF(A27&gt;200,"",D27*'Adj-Mixed'!$C$7)</f>
        <v>0.45962410116783953</v>
      </c>
      <c r="L27" s="1">
        <f t="shared" si="2"/>
        <v>2.1756909558466191</v>
      </c>
      <c r="M27" s="26">
        <f t="shared" si="3"/>
        <v>1.6862806194086946</v>
      </c>
      <c r="N27" s="115">
        <f t="shared" si="7"/>
        <v>23.398219586566977</v>
      </c>
    </row>
    <row r="28" spans="1:14" ht="15" customHeight="1" x14ac:dyDescent="0.25">
      <c r="A28" s="22">
        <f t="shared" si="4"/>
        <v>46</v>
      </c>
      <c r="B28" s="27">
        <f>IF(A28&gt;200,"",IF($C$1='Adj-Mixed'!$A$21,VLOOKUP(A28,'800'!$A$6:$AB$188,4,FALSE),IF($C$1='Adj-Mixed'!$A$20,VLOOKUP(A28,'800'!$A$6:$AB$188,13,FALSE),IF($C$1='Adj-Mixed'!$A$19,VLOOKUP(A28,'800'!$A$6:$AB$188,22,FALSE)))))</f>
        <v>14.19361463439918</v>
      </c>
      <c r="C28" s="25">
        <f t="shared" si="5"/>
        <v>504.17852325533727</v>
      </c>
      <c r="D28" s="26">
        <f t="shared" si="6"/>
        <v>0.72650716400988924</v>
      </c>
      <c r="E28" s="26">
        <f>IF(A28&gt;200,"",IF($C$1='Adj-Mixed'!$A$21,VLOOKUP(A28,'800'!$A$7:$AB$188,10,FALSE),IF($C$1='Adj-Mixed'!$A$20,VLOOKUP(A28,'800'!$A$7:$AB$188,19,FALSE),IF($C$1='Adj-Mixed'!$A$19,VLOOKUP(A28,'800'!$A$7:$AB$188,28,FALSE)))))</f>
        <v>1.3764489182468516</v>
      </c>
      <c r="F28" s="26">
        <f>IF(A28&gt;200,"",IF($C$1='Adj-Mixed'!$A$21,VLOOKUP(A28,'800'!$A$7:$AB$188,7,FALSE),IF($C$1='Adj-Mixed'!$A$20,VLOOKUP(A28,'800'!$A$7:$AB$188,16,FALSE),IF($C$1='Adj-Mixed'!$A$19,VLOOKUP(A28,'800'!$A$7:$AB$188,25,FALSE)))))</f>
        <v>0.69397598293810414</v>
      </c>
      <c r="G28" s="26">
        <f t="shared" si="8"/>
        <v>10.026882911422076</v>
      </c>
      <c r="I28" s="127">
        <f t="shared" si="1"/>
        <v>24.667539408479282</v>
      </c>
      <c r="J28" s="25">
        <f>IF(A28&gt;200,"",(C28*'Adj-Mixed'!$C$6))</f>
        <v>792.4100003011639</v>
      </c>
      <c r="K28" s="26">
        <f>IF(A28&gt;200,"",D28*'Adj-Mixed'!$C$7)</f>
        <v>0.45544887067637357</v>
      </c>
      <c r="L28" s="1">
        <f t="shared" si="2"/>
        <v>2.1956361391673442</v>
      </c>
      <c r="M28" s="26">
        <f t="shared" si="3"/>
        <v>1.7398440336988417</v>
      </c>
      <c r="N28" s="115">
        <f t="shared" si="7"/>
        <v>25.138063620265818</v>
      </c>
    </row>
    <row r="29" spans="1:14" ht="15" customHeight="1" x14ac:dyDescent="0.25">
      <c r="A29" s="22">
        <f t="shared" si="4"/>
        <v>47</v>
      </c>
      <c r="B29" s="27">
        <f>IF(A29&gt;200,"",IF($C$1='Adj-Mixed'!$A$21,VLOOKUP(A29,'800'!$A$6:$AB$188,4,FALSE),IF($C$1='Adj-Mixed'!$A$20,VLOOKUP(A29,'800'!$A$6:$AB$188,13,FALSE),IF($C$1='Adj-Mixed'!$A$19,VLOOKUP(A29,'800'!$A$6:$AB$188,22,FALSE)))))</f>
        <v>14.70908256047932</v>
      </c>
      <c r="C29" s="25">
        <f t="shared" si="5"/>
        <v>515.46792608013982</v>
      </c>
      <c r="D29" s="26">
        <f t="shared" si="6"/>
        <v>0.71737667297405072</v>
      </c>
      <c r="E29" s="26">
        <f>IF(A29&gt;200,"",IF($C$1='Adj-Mixed'!$A$21,VLOOKUP(A29,'800'!$A$7:$AB$188,10,FALSE),IF($C$1='Adj-Mixed'!$A$20,VLOOKUP(A29,'800'!$A$7:$AB$188,19,FALSE),IF($C$1='Adj-Mixed'!$A$19,VLOOKUP(A29,'800'!$A$7:$AB$188,28,FALSE)))))</f>
        <v>1.3939678242592821</v>
      </c>
      <c r="F29" s="26">
        <f>IF(A29&gt;200,"",IF($C$1='Adj-Mixed'!$A$21,VLOOKUP(A29,'800'!$A$7:$AB$188,7,FALSE),IF($C$1='Adj-Mixed'!$A$20,VLOOKUP(A29,'800'!$A$7:$AB$188,16,FALSE),IF($C$1='Adj-Mixed'!$A$19,VLOOKUP(A29,'800'!$A$7:$AB$188,25,FALSE)))))</f>
        <v>0.71854570339337698</v>
      </c>
      <c r="G29" s="26">
        <f t="shared" si="8"/>
        <v>10.745428614815452</v>
      </c>
      <c r="I29" s="127">
        <f t="shared" si="1"/>
        <v>25.477692797844384</v>
      </c>
      <c r="J29" s="25">
        <f>IF(A29&gt;200,"",(C29*'Adj-Mixed'!$C$6))</f>
        <v>810.15338936510307</v>
      </c>
      <c r="K29" s="26">
        <f>IF(A29&gt;200,"",D29*'Adj-Mixed'!$C$7)</f>
        <v>0.44972494662304274</v>
      </c>
      <c r="L29" s="1">
        <f t="shared" si="2"/>
        <v>2.2235813412374368</v>
      </c>
      <c r="M29" s="26">
        <f t="shared" si="3"/>
        <v>1.8014419601325111</v>
      </c>
      <c r="N29" s="115">
        <f t="shared" si="7"/>
        <v>26.939505580398329</v>
      </c>
    </row>
    <row r="30" spans="1:14" ht="15" customHeight="1" x14ac:dyDescent="0.25">
      <c r="A30" s="22">
        <f t="shared" si="4"/>
        <v>48</v>
      </c>
      <c r="B30" s="27">
        <f>IF(A30&gt;200,"",IF($C$1='Adj-Mixed'!$A$21,VLOOKUP(A30,'800'!$A$6:$AB$188,4,FALSE),IF($C$1='Adj-Mixed'!$A$20,VLOOKUP(A30,'800'!$A$6:$AB$188,13,FALSE),IF($C$1='Adj-Mixed'!$A$19,VLOOKUP(A30,'800'!$A$6:$AB$188,22,FALSE)))))</f>
        <v>15.236092678049905</v>
      </c>
      <c r="C30" s="25">
        <f t="shared" si="5"/>
        <v>527.01011757058507</v>
      </c>
      <c r="D30" s="26">
        <f t="shared" si="6"/>
        <v>0.709190121288508</v>
      </c>
      <c r="E30" s="26">
        <f>IF(A30&gt;200,"",IF($C$1='Adj-Mixed'!$A$21,VLOOKUP(A30,'800'!$A$7:$AB$188,10,FALSE),IF($C$1='Adj-Mixed'!$A$20,VLOOKUP(A30,'800'!$A$7:$AB$188,19,FALSE),IF($C$1='Adj-Mixed'!$A$19,VLOOKUP(A30,'800'!$A$7:$AB$188,28,FALSE)))))</f>
        <v>1.410059122345257</v>
      </c>
      <c r="F30" s="26">
        <f>IF(A30&gt;200,"",IF($C$1='Adj-Mixed'!$A$21,VLOOKUP(A30,'800'!$A$7:$AB$188,7,FALSE),IF($C$1='Adj-Mixed'!$A$20,VLOOKUP(A30,'800'!$A$7:$AB$188,16,FALSE),IF($C$1='Adj-Mixed'!$A$19,VLOOKUP(A30,'800'!$A$7:$AB$188,25,FALSE)))))</f>
        <v>0.74311542384864981</v>
      </c>
      <c r="G30" s="26">
        <f t="shared" si="8"/>
        <v>11.488544038664102</v>
      </c>
      <c r="I30" s="127">
        <f t="shared" si="1"/>
        <v>26.305986880516624</v>
      </c>
      <c r="J30" s="25">
        <f>IF(A30&gt;200,"",(C30*'Adj-Mixed'!$C$6))</f>
        <v>828.29408267223903</v>
      </c>
      <c r="K30" s="26">
        <f>IF(A30&gt;200,"",D30*'Adj-Mixed'!$C$7)</f>
        <v>0.44459278013574371</v>
      </c>
      <c r="L30" s="1">
        <f t="shared" si="2"/>
        <v>2.2492493011125338</v>
      </c>
      <c r="M30" s="26">
        <f t="shared" si="3"/>
        <v>1.863039886566181</v>
      </c>
      <c r="N30" s="115">
        <f t="shared" si="7"/>
        <v>28.80254546696451</v>
      </c>
    </row>
    <row r="31" spans="1:14" ht="15" customHeight="1" x14ac:dyDescent="0.25">
      <c r="A31" s="22">
        <f t="shared" si="4"/>
        <v>49</v>
      </c>
      <c r="B31" s="27">
        <f>IF(A31&gt;200,"",IF($C$1='Adj-Mixed'!$A$21,VLOOKUP(A31,'800'!$A$6:$AB$188,4,FALSE),IF($C$1='Adj-Mixed'!$A$20,VLOOKUP(A31,'800'!$A$6:$AB$188,13,FALSE),IF($C$1='Adj-Mixed'!$A$19,VLOOKUP(A31,'800'!$A$6:$AB$188,22,FALSE)))))</f>
        <v>15.774903436138821</v>
      </c>
      <c r="C31" s="25">
        <f t="shared" si="5"/>
        <v>538.81075808891592</v>
      </c>
      <c r="D31" s="26">
        <f t="shared" si="6"/>
        <v>0.70186425005979203</v>
      </c>
      <c r="E31" s="26">
        <f>IF(A31&gt;200,"",IF($C$1='Adj-Mixed'!$A$21,VLOOKUP(A31,'800'!$A$7:$AB$188,10,FALSE),IF($C$1='Adj-Mixed'!$A$20,VLOOKUP(A31,'800'!$A$7:$AB$188,19,FALSE),IF($C$1='Adj-Mixed'!$A$19,VLOOKUP(A31,'800'!$A$7:$AB$188,28,FALSE)))))</f>
        <v>1.4247769421434553</v>
      </c>
      <c r="F31" s="26">
        <f>IF(A31&gt;200,"",IF($C$1='Adj-Mixed'!$A$21,VLOOKUP(A31,'800'!$A$7:$AB$188,7,FALSE),IF($C$1='Adj-Mixed'!$A$20,VLOOKUP(A31,'800'!$A$7:$AB$188,16,FALSE),IF($C$1='Adj-Mixed'!$A$19,VLOOKUP(A31,'800'!$A$7:$AB$188,25,FALSE)))))</f>
        <v>0.76768514430392254</v>
      </c>
      <c r="G31" s="26">
        <f t="shared" si="8"/>
        <v>12.256229182968024</v>
      </c>
      <c r="I31" s="127">
        <f t="shared" si="1"/>
        <v>27.152827857047626</v>
      </c>
      <c r="J31" s="25">
        <f>IF(A31&gt;200,"",(C31*'Adj-Mixed'!$C$6))</f>
        <v>846.84097653100184</v>
      </c>
      <c r="K31" s="26">
        <f>IF(A31&gt;200,"",D31*'Adj-Mixed'!$C$7)</f>
        <v>0.44000017603887093</v>
      </c>
      <c r="L31" s="1">
        <f t="shared" si="2"/>
        <v>2.272726363435948</v>
      </c>
      <c r="M31" s="26">
        <f t="shared" si="3"/>
        <v>1.9246378129998507</v>
      </c>
      <c r="N31" s="115">
        <f t="shared" si="7"/>
        <v>30.727183279964361</v>
      </c>
    </row>
    <row r="32" spans="1:14" ht="15" customHeight="1" x14ac:dyDescent="0.25">
      <c r="A32" s="22">
        <f t="shared" si="4"/>
        <v>50</v>
      </c>
      <c r="B32" s="27">
        <f>IF(A32&gt;200,"",IF($C$1='Adj-Mixed'!$A$21,VLOOKUP(A32,'800'!$A$6:$AB$188,4,FALSE),IF($C$1='Adj-Mixed'!$A$20,VLOOKUP(A32,'800'!$A$6:$AB$188,13,FALSE),IF($C$1='Adj-Mixed'!$A$19,VLOOKUP(A32,'800'!$A$6:$AB$188,22,FALSE)))))</f>
        <v>16.325779070881204</v>
      </c>
      <c r="C32" s="25">
        <f t="shared" si="5"/>
        <v>550.87563474238266</v>
      </c>
      <c r="D32" s="26">
        <f t="shared" si="6"/>
        <v>0.69532628860514312</v>
      </c>
      <c r="E32" s="26">
        <f>IF(A32&gt;200,"",IF($C$1='Adj-Mixed'!$A$21,VLOOKUP(A32,'800'!$A$7:$AB$188,10,FALSE),IF($C$1='Adj-Mixed'!$A$20,VLOOKUP(A32,'800'!$A$7:$AB$188,19,FALSE),IF($C$1='Adj-Mixed'!$A$19,VLOOKUP(A32,'800'!$A$7:$AB$188,28,FALSE)))))</f>
        <v>1.4381737270512907</v>
      </c>
      <c r="F32" s="26">
        <f>IF(A32&gt;200,"",IF($C$1='Adj-Mixed'!$A$21,VLOOKUP(A32,'800'!$A$7:$AB$188,7,FALSE),IF($C$1='Adj-Mixed'!$A$20,VLOOKUP(A32,'800'!$A$7:$AB$188,16,FALSE),IF($C$1='Adj-Mixed'!$A$19,VLOOKUP(A32,'800'!$A$7:$AB$188,25,FALSE)))))</f>
        <v>0.79225486475919538</v>
      </c>
      <c r="G32" s="26">
        <f t="shared" si="8"/>
        <v>13.04848404772722</v>
      </c>
      <c r="I32" s="127">
        <f t="shared" si="1"/>
        <v>28.018631023500717</v>
      </c>
      <c r="J32" s="25">
        <f>IF(A32&gt;200,"",(C32*'Adj-Mixed'!$C$6))</f>
        <v>865.80316645309279</v>
      </c>
      <c r="K32" s="26">
        <f>IF(A32&gt;200,"",D32*'Adj-Mixed'!$C$7)</f>
        <v>0.43590151423819395</v>
      </c>
      <c r="L32" s="1">
        <f t="shared" si="2"/>
        <v>2.2940961830510185</v>
      </c>
      <c r="M32" s="26">
        <f t="shared" si="3"/>
        <v>1.9862357394335257</v>
      </c>
      <c r="N32" s="115">
        <f t="shared" si="7"/>
        <v>32.71341901939789</v>
      </c>
    </row>
    <row r="33" spans="1:14" ht="15" customHeight="1" x14ac:dyDescent="0.25">
      <c r="A33" s="22">
        <f t="shared" si="4"/>
        <v>51</v>
      </c>
      <c r="B33" s="27">
        <f>IF(A33&gt;200,"",IF($C$1='Adj-Mixed'!$A$21,VLOOKUP(A33,'800'!$A$6:$AB$188,4,FALSE),IF($C$1='Adj-Mixed'!$A$20,VLOOKUP(A33,'800'!$A$6:$AB$188,13,FALSE),IF($C$1='Adj-Mixed'!$A$19,VLOOKUP(A33,'800'!$A$6:$AB$188,22,FALSE)))))</f>
        <v>16.888989735102463</v>
      </c>
      <c r="C33" s="25">
        <f t="shared" si="5"/>
        <v>563.21066422125909</v>
      </c>
      <c r="D33" s="26">
        <f t="shared" si="6"/>
        <v>0.68951238052339492</v>
      </c>
      <c r="E33" s="26">
        <f>IF(A33&gt;200,"",IF($C$1='Adj-Mixed'!$A$21,VLOOKUP(A33,'800'!$A$7:$AB$188,10,FALSE),IF($C$1='Adj-Mixed'!$A$20,VLOOKUP(A33,'800'!$A$7:$AB$188,19,FALSE),IF($C$1='Adj-Mixed'!$A$19,VLOOKUP(A33,'800'!$A$7:$AB$188,28,FALSE)))))</f>
        <v>1.4503002821224475</v>
      </c>
      <c r="F33" s="26">
        <f>IF(A33&gt;200,"",IF($C$1='Adj-Mixed'!$A$21,VLOOKUP(A33,'800'!$A$7:$AB$188,7,FALSE),IF($C$1='Adj-Mixed'!$A$20,VLOOKUP(A33,'800'!$A$7:$AB$188,16,FALSE),IF($C$1='Adj-Mixed'!$A$19,VLOOKUP(A33,'800'!$A$7:$AB$188,25,FALSE)))))</f>
        <v>0.81682458521446821</v>
      </c>
      <c r="G33" s="26">
        <f t="shared" si="8"/>
        <v>13.865308632941687</v>
      </c>
      <c r="I33" s="127">
        <f t="shared" si="1"/>
        <v>28.90382097511467</v>
      </c>
      <c r="J33" s="25">
        <f>IF(A33&gt;200,"",(C33*'Adj-Mixed'!$C$6))</f>
        <v>885.18995161395378</v>
      </c>
      <c r="K33" s="26">
        <f>IF(A33&gt;200,"",D33*'Adj-Mixed'!$C$7)</f>
        <v>0.43225676302138089</v>
      </c>
      <c r="L33" s="1">
        <f t="shared" si="2"/>
        <v>2.3134398014046496</v>
      </c>
      <c r="M33" s="26">
        <f t="shared" si="3"/>
        <v>2.0478336658671763</v>
      </c>
      <c r="N33" s="115">
        <f t="shared" si="7"/>
        <v>34.761252685265063</v>
      </c>
    </row>
    <row r="34" spans="1:14" ht="15" customHeight="1" x14ac:dyDescent="0.25">
      <c r="A34" s="22">
        <f t="shared" si="4"/>
        <v>52</v>
      </c>
      <c r="B34" s="27">
        <f>IF(A34&gt;200,"",IF($C$1='Adj-Mixed'!$A$21,VLOOKUP(A34,'800'!$A$6:$AB$188,4,FALSE),IF($C$1='Adj-Mixed'!$A$20,VLOOKUP(A34,'800'!$A$6:$AB$188,13,FALSE),IF($C$1='Adj-Mixed'!$A$19,VLOOKUP(A34,'800'!$A$6:$AB$188,22,FALSE)))))</f>
        <v>17.464811630802934</v>
      </c>
      <c r="C34" s="25">
        <f t="shared" si="5"/>
        <v>575.82189570047149</v>
      </c>
      <c r="D34" s="26">
        <f t="shared" si="6"/>
        <v>0.68436628560508661</v>
      </c>
      <c r="E34" s="26">
        <f>IF(A34&gt;200,"",IF($C$1='Adj-Mixed'!$A$21,VLOOKUP(A34,'800'!$A$7:$AB$188,10,FALSE),IF($C$1='Adj-Mixed'!$A$20,VLOOKUP(A34,'800'!$A$7:$AB$188,19,FALSE),IF($C$1='Adj-Mixed'!$A$19,VLOOKUP(A34,'800'!$A$7:$AB$188,28,FALSE)))))</f>
        <v>1.4612058206751724</v>
      </c>
      <c r="F34" s="26">
        <f>IF(A34&gt;200,"",IF($C$1='Adj-Mixed'!$A$21,VLOOKUP(A34,'800'!$A$7:$AB$188,7,FALSE),IF($C$1='Adj-Mixed'!$A$20,VLOOKUP(A34,'800'!$A$7:$AB$188,16,FALSE),IF($C$1='Adj-Mixed'!$A$19,VLOOKUP(A34,'800'!$A$7:$AB$188,25,FALSE)))))</f>
        <v>0.84139430566974094</v>
      </c>
      <c r="G34" s="26">
        <f t="shared" si="8"/>
        <v>14.706702938611429</v>
      </c>
      <c r="I34" s="127">
        <f t="shared" si="1"/>
        <v>29.808831814527885</v>
      </c>
      <c r="J34" s="25">
        <f>IF(A34&gt;200,"",(C34*'Adj-Mixed'!$C$6))</f>
        <v>905.01083941321394</v>
      </c>
      <c r="K34" s="26">
        <f>IF(A34&gt;200,"",D34*'Adj-Mixed'!$C$7)</f>
        <v>0.42903066528271488</v>
      </c>
      <c r="L34" s="1">
        <f t="shared" si="2"/>
        <v>2.3308357208943051</v>
      </c>
      <c r="M34" s="26">
        <f t="shared" si="3"/>
        <v>2.1094315923008584</v>
      </c>
      <c r="N34" s="115">
        <f t="shared" si="7"/>
        <v>36.870684277565921</v>
      </c>
    </row>
    <row r="35" spans="1:14" ht="15" customHeight="1" x14ac:dyDescent="0.25">
      <c r="A35" s="22">
        <f t="shared" si="4"/>
        <v>53</v>
      </c>
      <c r="B35" s="27">
        <f>IF(A35&gt;200,"",IF($C$1='Adj-Mixed'!$A$21,VLOOKUP(A35,'800'!$A$6:$AB$188,4,FALSE),IF($C$1='Adj-Mixed'!$A$20,VLOOKUP(A35,'800'!$A$6:$AB$188,13,FALSE),IF($C$1='Adj-Mixed'!$A$19,VLOOKUP(A35,'800'!$A$6:$AB$188,22,FALSE)))))</f>
        <v>18.053527144609014</v>
      </c>
      <c r="C35" s="25">
        <f t="shared" si="5"/>
        <v>588.71551380607912</v>
      </c>
      <c r="D35" s="26">
        <f t="shared" si="6"/>
        <v>0.67983830279929724</v>
      </c>
      <c r="E35" s="26">
        <f>IF(A35&gt;200,"",IF($C$1='Adj-Mixed'!$A$21,VLOOKUP(A35,'800'!$A$7:$AB$188,10,FALSE),IF($C$1='Adj-Mixed'!$A$20,VLOOKUP(A35,'800'!$A$7:$AB$188,19,FALSE),IF($C$1='Adj-Mixed'!$A$19,VLOOKUP(A35,'800'!$A$7:$AB$188,28,FALSE)))))</f>
        <v>1.4709380096449514</v>
      </c>
      <c r="F35" s="26">
        <f>IF(A35&gt;200,"",IF($C$1='Adj-Mixed'!$A$21,VLOOKUP(A35,'800'!$A$7:$AB$188,7,FALSE),IF($C$1='Adj-Mixed'!$A$20,VLOOKUP(A35,'800'!$A$7:$AB$188,16,FALSE),IF($C$1='Adj-Mixed'!$A$19,VLOOKUP(A35,'800'!$A$7:$AB$188,25,FALSE)))))</f>
        <v>0.86596402612501366</v>
      </c>
      <c r="G35" s="26">
        <f t="shared" si="8"/>
        <v>15.572666964736442</v>
      </c>
      <c r="I35" s="127">
        <f t="shared" si="1"/>
        <v>30.734107364664951</v>
      </c>
      <c r="J35" s="25">
        <f>IF(A35&gt;200,"",(C35*'Adj-Mixed'!$C$6))</f>
        <v>925.27555013706467</v>
      </c>
      <c r="K35" s="26">
        <f>IF(A35&gt;200,"",D35*'Adj-Mixed'!$C$7)</f>
        <v>0.4261920633287351</v>
      </c>
      <c r="L35" s="1">
        <f t="shared" si="2"/>
        <v>2.3463599772121264</v>
      </c>
      <c r="M35" s="26">
        <f t="shared" si="3"/>
        <v>2.1710295187345405</v>
      </c>
      <c r="N35" s="115">
        <f t="shared" si="7"/>
        <v>39.041713796300463</v>
      </c>
    </row>
    <row r="36" spans="1:14" ht="15" customHeight="1" x14ac:dyDescent="0.25">
      <c r="A36" s="22">
        <f t="shared" si="4"/>
        <v>54</v>
      </c>
      <c r="B36" s="27">
        <f>IF(A36&gt;200,"",IF($C$1='Adj-Mixed'!$A$21,VLOOKUP(A36,'800'!$A$6:$AB$188,4,FALSE),IF($C$1='Adj-Mixed'!$A$20,VLOOKUP(A36,'800'!$A$6:$AB$188,13,FALSE),IF($C$1='Adj-Mixed'!$A$19,VLOOKUP(A36,'800'!$A$6:$AB$188,22,FALSE)))))</f>
        <v>18.655424986257323</v>
      </c>
      <c r="C36" s="25">
        <f t="shared" si="5"/>
        <v>601.8978416483094</v>
      </c>
      <c r="D36" s="26">
        <f t="shared" si="6"/>
        <v>0.67588437154643721</v>
      </c>
      <c r="E36" s="26">
        <f>IF(A36&gt;200,"",IF($C$1='Adj-Mixed'!$A$21,VLOOKUP(A36,'800'!$A$7:$AB$188,10,FALSE),IF($C$1='Adj-Mixed'!$A$20,VLOOKUP(A36,'800'!$A$7:$AB$188,19,FALSE),IF($C$1='Adj-Mixed'!$A$19,VLOOKUP(A36,'800'!$A$7:$AB$188,28,FALSE)))))</f>
        <v>1.4795430137139873</v>
      </c>
      <c r="F36" s="26">
        <f>IF(A36&gt;200,"",IF($C$1='Adj-Mixed'!$A$21,VLOOKUP(A36,'800'!$A$7:$AB$188,7,FALSE),IF($C$1='Adj-Mixed'!$A$20,VLOOKUP(A36,'800'!$A$7:$AB$188,16,FALSE),IF($C$1='Adj-Mixed'!$A$19,VLOOKUP(A36,'800'!$A$7:$AB$188,25,FALSE)))))</f>
        <v>0.89053374658028661</v>
      </c>
      <c r="G36" s="26">
        <f t="shared" si="8"/>
        <v>16.463200711316727</v>
      </c>
      <c r="I36" s="127">
        <f t="shared" ref="I36:I67" si="9">IF(A36&gt;200,"",I35+(J36/1000))</f>
        <v>31.680101386390188</v>
      </c>
      <c r="J36" s="25">
        <f>IF(A36&gt;200,"",(C36*'Adj-Mixed'!$C$6))</f>
        <v>945.99402172523571</v>
      </c>
      <c r="K36" s="26">
        <f>IF(A36&gt;200,"",D36*'Adj-Mixed'!$C$7)</f>
        <v>0.4237133355018714</v>
      </c>
      <c r="L36" s="1">
        <f t="shared" ref="L36:L67" si="10">IF(A36&gt;200,"",1/K36)</f>
        <v>2.3600862097378648</v>
      </c>
      <c r="M36" s="26">
        <f t="shared" ref="M36:M67" si="11">IF(A36&gt;200,"",(J36/1000)/K36)</f>
        <v>2.2326274451681911</v>
      </c>
      <c r="N36" s="115">
        <f t="shared" si="7"/>
        <v>41.274341241468655</v>
      </c>
    </row>
    <row r="37" spans="1:14" ht="15" customHeight="1" x14ac:dyDescent="0.25">
      <c r="A37" s="22">
        <f t="shared" si="4"/>
        <v>55</v>
      </c>
      <c r="B37" s="27">
        <f>IF(A37&gt;200,"",IF($C$1='Adj-Mixed'!$A$21,VLOOKUP(A37,'800'!$A$6:$AB$188,4,FALSE),IF($C$1='Adj-Mixed'!$A$20,VLOOKUP(A37,'800'!$A$6:$AB$188,13,FALSE),IF($C$1='Adj-Mixed'!$A$19,VLOOKUP(A37,'800'!$A$6:$AB$188,22,FALSE)))))</f>
        <v>19.270800330179775</v>
      </c>
      <c r="C37" s="25">
        <f t="shared" si="5"/>
        <v>615.37534392245163</v>
      </c>
      <c r="D37" s="26">
        <f t="shared" si="6"/>
        <v>0.67089896620499545</v>
      </c>
      <c r="E37" s="26">
        <f>IF(A37&gt;200,"",IF($C$1='Adj-Mixed'!$A$21,VLOOKUP(A37,'800'!$A$7:$AB$188,10,FALSE),IF($C$1='Adj-Mixed'!$A$20,VLOOKUP(A37,'800'!$A$7:$AB$188,19,FALSE),IF($C$1='Adj-Mixed'!$A$19,VLOOKUP(A37,'800'!$A$7:$AB$188,28,FALSE)))))</f>
        <v>1.4905373988822732</v>
      </c>
      <c r="F37" s="26">
        <f>IF(A37&gt;200,"",IF($C$1='Adj-Mixed'!$A$21,VLOOKUP(A37,'800'!$A$7:$AB$188,7,FALSE),IF($C$1='Adj-Mixed'!$A$20,VLOOKUP(A37,'800'!$A$7:$AB$188,16,FALSE),IF($C$1='Adj-Mixed'!$A$19,VLOOKUP(A37,'800'!$A$7:$AB$188,25,FALSE)))))</f>
        <v>0.91723996446645262</v>
      </c>
      <c r="G37" s="26">
        <f t="shared" si="8"/>
        <v>17.380440675783181</v>
      </c>
      <c r="I37" s="127">
        <f t="shared" si="9"/>
        <v>32.647277801034811</v>
      </c>
      <c r="J37" s="25">
        <f>IF(A37&gt;200,"",(C37*'Adj-Mixed'!$C$6))</f>
        <v>967.17641464462497</v>
      </c>
      <c r="K37" s="26">
        <f>IF(A37&gt;200,"",D37*'Adj-Mixed'!$C$7)</f>
        <v>0.42058797439725237</v>
      </c>
      <c r="L37" s="1">
        <f t="shared" si="10"/>
        <v>2.3776238524962752</v>
      </c>
      <c r="M37" s="26">
        <f t="shared" si="11"/>
        <v>2.2995817130308884</v>
      </c>
      <c r="N37" s="115">
        <f t="shared" ref="N37:N68" si="12">IF(A37&gt;200,"",N36+M37)</f>
        <v>43.573922954499544</v>
      </c>
    </row>
    <row r="38" spans="1:14" ht="15" customHeight="1" x14ac:dyDescent="0.25">
      <c r="A38" s="22">
        <f t="shared" si="4"/>
        <v>56</v>
      </c>
      <c r="B38" s="27">
        <f>IF(A38&gt;200,"",IF($C$1='Adj-Mixed'!$A$21,VLOOKUP(A38,'800'!$A$6:$AB$188,4,FALSE),IF($C$1='Adj-Mixed'!$A$20,VLOOKUP(A38,'800'!$A$6:$AB$188,13,FALSE),IF($C$1='Adj-Mixed'!$A$19,VLOOKUP(A38,'800'!$A$6:$AB$188,22,FALSE)))))</f>
        <v>19.89995496025891</v>
      </c>
      <c r="C38" s="25">
        <f t="shared" si="5"/>
        <v>629.15463007913536</v>
      </c>
      <c r="D38" s="26">
        <f t="shared" si="6"/>
        <v>0.66651536055909522</v>
      </c>
      <c r="E38" s="26">
        <f>IF(A38&gt;200,"",IF($C$1='Adj-Mixed'!$A$21,VLOOKUP(A38,'800'!$A$7:$AB$188,10,FALSE),IF($C$1='Adj-Mixed'!$A$20,VLOOKUP(A38,'800'!$A$7:$AB$188,19,FALSE),IF($C$1='Adj-Mixed'!$A$19,VLOOKUP(A38,'800'!$A$7:$AB$188,28,FALSE)))))</f>
        <v>1.5003405160252674</v>
      </c>
      <c r="F38" s="26">
        <f>IF(A38&gt;200,"",IF($C$1='Adj-Mixed'!$A$21,VLOOKUP(A38,'800'!$A$7:$AB$188,7,FALSE),IF($C$1='Adj-Mixed'!$A$20,VLOOKUP(A38,'800'!$A$7:$AB$188,16,FALSE),IF($C$1='Adj-Mixed'!$A$19,VLOOKUP(A38,'800'!$A$7:$AB$188,25,FALSE)))))</f>
        <v>0.94394618235261873</v>
      </c>
      <c r="G38" s="26">
        <f t="shared" si="8"/>
        <v>18.324386858135799</v>
      </c>
      <c r="I38" s="127">
        <f t="shared" si="9"/>
        <v>33.636110917906791</v>
      </c>
      <c r="J38" s="25">
        <f>IF(A38&gt;200,"",(C38*'Adj-Mixed'!$C$6))</f>
        <v>988.83311687197829</v>
      </c>
      <c r="K38" s="26">
        <f>IF(A38&gt;200,"",D38*'Adj-Mixed'!$C$7)</f>
        <v>0.41783988278877282</v>
      </c>
      <c r="L38" s="1">
        <f t="shared" si="10"/>
        <v>2.3932612495622441</v>
      </c>
      <c r="M38" s="26">
        <f t="shared" si="11"/>
        <v>2.3665359808935591</v>
      </c>
      <c r="N38" s="115">
        <f t="shared" si="12"/>
        <v>45.940458935393103</v>
      </c>
    </row>
    <row r="39" spans="1:14" ht="15" customHeight="1" x14ac:dyDescent="0.25">
      <c r="A39" s="22">
        <f t="shared" si="4"/>
        <v>57</v>
      </c>
      <c r="B39" s="27">
        <f>IF(A39&gt;200,"",IF($C$1='Adj-Mixed'!$A$21,VLOOKUP(A39,'800'!$A$6:$AB$188,4,FALSE),IF($C$1='Adj-Mixed'!$A$20,VLOOKUP(A39,'800'!$A$6:$AB$188,13,FALSE),IF($C$1='Adj-Mixed'!$A$19,VLOOKUP(A39,'800'!$A$6:$AB$188,22,FALSE)))))</f>
        <v>20.543197417824608</v>
      </c>
      <c r="C39" s="25">
        <f t="shared" si="5"/>
        <v>643.24245756569803</v>
      </c>
      <c r="D39" s="26">
        <f t="shared" si="6"/>
        <v>0.6590641871915226</v>
      </c>
      <c r="E39" s="26">
        <f>IF(A39&gt;200,"",IF($C$1='Adj-Mixed'!$A$21,VLOOKUP(A39,'800'!$A$7:$AB$188,10,FALSE),IF($C$1='Adj-Mixed'!$A$20,VLOOKUP(A39,'800'!$A$7:$AB$188,19,FALSE),IF($C$1='Adj-Mixed'!$A$19,VLOOKUP(A39,'800'!$A$7:$AB$188,28,FALSE)))))</f>
        <v>1.5173028961887778</v>
      </c>
      <c r="F39" s="26">
        <f>IF(A39&gt;200,"",IF($C$1='Adj-Mixed'!$A$21,VLOOKUP(A39,'800'!$A$7:$AB$188,7,FALSE),IF($C$1='Adj-Mixed'!$A$20,VLOOKUP(A39,'800'!$A$7:$AB$188,16,FALSE),IF($C$1='Adj-Mixed'!$A$19,VLOOKUP(A39,'800'!$A$7:$AB$188,25,FALSE)))))</f>
        <v>0.97599364381601805</v>
      </c>
      <c r="G39" s="26">
        <f t="shared" si="8"/>
        <v>19.300380501951818</v>
      </c>
      <c r="I39" s="127">
        <f t="shared" si="9"/>
        <v>34.647085666895087</v>
      </c>
      <c r="J39" s="25">
        <f>IF(A39&gt;200,"",(C39*'Adj-Mixed'!$C$6))</f>
        <v>1010.9747489882997</v>
      </c>
      <c r="K39" s="26">
        <f>IF(A39&gt;200,"",D39*'Adj-Mixed'!$C$7)</f>
        <v>0.41316872651724484</v>
      </c>
      <c r="L39" s="1">
        <f t="shared" si="10"/>
        <v>2.4203187119929854</v>
      </c>
      <c r="M39" s="26">
        <f t="shared" si="11"/>
        <v>2.4468811023287929</v>
      </c>
      <c r="N39" s="115">
        <f t="shared" si="12"/>
        <v>48.387340037721899</v>
      </c>
    </row>
    <row r="40" spans="1:14" ht="15" customHeight="1" x14ac:dyDescent="0.25">
      <c r="A40" s="22">
        <f t="shared" si="4"/>
        <v>58</v>
      </c>
      <c r="B40" s="27">
        <f>IF(A40&gt;200,"",IF($C$1='Adj-Mixed'!$A$21,VLOOKUP(A40,'800'!$A$6:$AB$188,4,FALSE),IF($C$1='Adj-Mixed'!$A$20,VLOOKUP(A40,'800'!$A$6:$AB$188,13,FALSE),IF($C$1='Adj-Mixed'!$A$19,VLOOKUP(A40,'800'!$A$6:$AB$188,22,FALSE)))))</f>
        <v>21.200843152964662</v>
      </c>
      <c r="C40" s="25">
        <f t="shared" si="5"/>
        <v>657.64573514005417</v>
      </c>
      <c r="D40" s="26">
        <f t="shared" si="6"/>
        <v>0.65239972030482252</v>
      </c>
      <c r="E40" s="26">
        <f>IF(A40&gt;200,"",IF($C$1='Adj-Mixed'!$A$21,VLOOKUP(A40,'800'!$A$7:$AB$188,10,FALSE),IF($C$1='Adj-Mixed'!$A$20,VLOOKUP(A40,'800'!$A$7:$AB$188,19,FALSE),IF($C$1='Adj-Mixed'!$A$19,VLOOKUP(A40,'800'!$A$7:$AB$188,28,FALSE)))))</f>
        <v>1.5328026191255373</v>
      </c>
      <c r="F40" s="26">
        <f>IF(A40&gt;200,"",IF($C$1='Adj-Mixed'!$A$21,VLOOKUP(A40,'800'!$A$7:$AB$188,7,FALSE),IF($C$1='Adj-Mixed'!$A$20,VLOOKUP(A40,'800'!$A$7:$AB$188,16,FALSE),IF($C$1='Adj-Mixed'!$A$19,VLOOKUP(A40,'800'!$A$7:$AB$188,25,FALSE)))))</f>
        <v>1.0080411052794171</v>
      </c>
      <c r="G40" s="26">
        <f t="shared" si="8"/>
        <v>20.308421607231235</v>
      </c>
      <c r="I40" s="127">
        <f t="shared" si="9"/>
        <v>35.680697836282299</v>
      </c>
      <c r="J40" s="25">
        <f>IF(A40&gt;200,"",(C40*'Adj-Mixed'!$C$6))</f>
        <v>1033.6121693872108</v>
      </c>
      <c r="K40" s="26">
        <f>IF(A40&gt;200,"",D40*'Adj-Mixed'!$C$7)</f>
        <v>0.40899075819487557</v>
      </c>
      <c r="L40" s="1">
        <f t="shared" si="10"/>
        <v>2.4450430234991298</v>
      </c>
      <c r="M40" s="26">
        <f t="shared" si="11"/>
        <v>2.527226223764</v>
      </c>
      <c r="N40" s="115">
        <f t="shared" si="12"/>
        <v>50.914566261485902</v>
      </c>
    </row>
    <row r="41" spans="1:14" ht="15" customHeight="1" x14ac:dyDescent="0.25">
      <c r="A41" s="22">
        <f t="shared" si="4"/>
        <v>59</v>
      </c>
      <c r="B41" s="27">
        <f>IF(A41&gt;200,"",IF($C$1='Adj-Mixed'!$A$21,VLOOKUP(A41,'800'!$A$6:$AB$188,4,FALSE),IF($C$1='Adj-Mixed'!$A$20,VLOOKUP(A41,'800'!$A$6:$AB$188,13,FALSE),IF($C$1='Adj-Mixed'!$A$19,VLOOKUP(A41,'800'!$A$6:$AB$188,22,FALSE)))))</f>
        <v>21.873214679223445</v>
      </c>
      <c r="C41" s="25">
        <f t="shared" si="5"/>
        <v>672.37152625878241</v>
      </c>
      <c r="D41" s="26">
        <f t="shared" si="6"/>
        <v>0.64645603053248279</v>
      </c>
      <c r="E41" s="26">
        <f>IF(A41&gt;200,"",IF($C$1='Adj-Mixed'!$A$21,VLOOKUP(A41,'800'!$A$7:$AB$188,10,FALSE),IF($C$1='Adj-Mixed'!$A$20,VLOOKUP(A41,'800'!$A$7:$AB$188,19,FALSE),IF($C$1='Adj-Mixed'!$A$19,VLOOKUP(A41,'800'!$A$7:$AB$188,28,FALSE)))))</f>
        <v>1.5468956166690946</v>
      </c>
      <c r="F41" s="26">
        <f>IF(A41&gt;200,"",IF($C$1='Adj-Mixed'!$A$21,VLOOKUP(A41,'800'!$A$7:$AB$188,7,FALSE),IF($C$1='Adj-Mixed'!$A$20,VLOOKUP(A41,'800'!$A$7:$AB$188,16,FALSE),IF($C$1='Adj-Mixed'!$A$19,VLOOKUP(A41,'800'!$A$7:$AB$188,25,FALSE)))))</f>
        <v>1.0400885667428166</v>
      </c>
      <c r="G41" s="26">
        <f t="shared" si="8"/>
        <v>21.348510173974052</v>
      </c>
      <c r="I41" s="127">
        <f t="shared" si="9"/>
        <v>36.73745431588226</v>
      </c>
      <c r="J41" s="25">
        <f>IF(A41&gt;200,"",(C41*'Adj-Mixed'!$C$6))</f>
        <v>1056.7564795999581</v>
      </c>
      <c r="K41" s="26">
        <f>IF(A41&gt;200,"",D41*'Adj-Mixed'!$C$7)</f>
        <v>0.4052646465629936</v>
      </c>
      <c r="L41" s="1">
        <f t="shared" si="10"/>
        <v>2.4675234034868172</v>
      </c>
      <c r="M41" s="26">
        <f t="shared" si="11"/>
        <v>2.6075713451992355</v>
      </c>
      <c r="N41" s="115">
        <f t="shared" si="12"/>
        <v>53.522137606685135</v>
      </c>
    </row>
    <row r="42" spans="1:14" ht="15" customHeight="1" x14ac:dyDescent="0.25">
      <c r="A42" s="139">
        <f t="shared" si="4"/>
        <v>60</v>
      </c>
      <c r="B42" s="140">
        <f>IF(A42&gt;200,"",IF($C$1='Adj-Mixed'!$A$21,VLOOKUP(A42,'800'!$A$6:$AB$188,4,FALSE),IF($C$1='Adj-Mixed'!$A$20,VLOOKUP(A42,'800'!$A$6:$AB$188,13,FALSE),IF($C$1='Adj-Mixed'!$A$19,VLOOKUP(A42,'800'!$A$6:$AB$188,22,FALSE)))))</f>
        <v>22.560256662064667</v>
      </c>
      <c r="C42" s="68">
        <f t="shared" si="5"/>
        <v>687.04198284122242</v>
      </c>
      <c r="D42" s="136">
        <f t="shared" si="6"/>
        <v>0.64467005342256645</v>
      </c>
      <c r="E42" s="136">
        <f>IF(A42&gt;200,"",IF($C$1='Adj-Mixed'!$A$21,VLOOKUP(A42,'800'!$A$7:$AB$188,10,FALSE),IF($C$1='Adj-Mixed'!$A$20,VLOOKUP(A42,'800'!$A$7:$AB$188,19,FALSE),IF($C$1='Adj-Mixed'!$A$19,VLOOKUP(A42,'800'!$A$7:$AB$188,28,FALSE)))))</f>
        <v>1.5511810959590564</v>
      </c>
      <c r="F42" s="136">
        <f>IF(A42&gt;200,"",IF($C$1='Adj-Mixed'!$A$21,VLOOKUP(A42,'800'!$A$7:$AB$188,7,FALSE),IF($C$1='Adj-Mixed'!$A$20,VLOOKUP(A42,'800'!$A$7:$AB$188,16,FALSE),IF($C$1='Adj-Mixed'!$A$19,VLOOKUP(A42,'800'!$A$7:$AB$188,25,FALSE)))))</f>
        <v>1.0657265359135359</v>
      </c>
      <c r="G42" s="136">
        <f t="shared" si="8"/>
        <v>22.414236709887589</v>
      </c>
      <c r="H42" s="141"/>
      <c r="I42" s="142">
        <f t="shared" si="9"/>
        <v>37.817268137214768</v>
      </c>
      <c r="J42" s="68">
        <f>IF(A42&gt;200,"",(C42*'Adj-Mixed'!$C$6))</f>
        <v>1079.8138213325058</v>
      </c>
      <c r="K42" s="136">
        <f>IF(A42&gt;200,"",D42*'Adj-Mixed'!$C$7)</f>
        <v>0.4041450137526636</v>
      </c>
      <c r="L42" s="138">
        <f t="shared" si="10"/>
        <v>2.4743593659972731</v>
      </c>
      <c r="M42" s="136">
        <f t="shared" si="11"/>
        <v>2.6718474423473917</v>
      </c>
      <c r="N42" s="143">
        <f t="shared" si="12"/>
        <v>56.193985049032527</v>
      </c>
    </row>
    <row r="43" spans="1:14" ht="15" customHeight="1" x14ac:dyDescent="0.25">
      <c r="A43" s="22">
        <f t="shared" si="4"/>
        <v>61</v>
      </c>
      <c r="B43" s="27">
        <f>IF(A43&gt;200,"",IF($C$1='Adj-Mixed'!$A$21,VLOOKUP(A43,'800'!$A$6:$AB$188,4,FALSE),IF($C$1='Adj-Mixed'!$A$20,VLOOKUP(A43,'800'!$A$6:$AB$188,13,FALSE),IF($C$1='Adj-Mixed'!$A$19,VLOOKUP(A43,'800'!$A$6:$AB$188,22,FALSE)))))</f>
        <v>23.256847857702841</v>
      </c>
      <c r="C43" s="25">
        <f t="shared" si="5"/>
        <v>696.59119563817387</v>
      </c>
      <c r="D43" s="26">
        <f t="shared" si="6"/>
        <v>0.63748444626227441</v>
      </c>
      <c r="E43" s="26">
        <f>IF(A43&gt;200,"",IF($C$1='Adj-Mixed'!$A$21,VLOOKUP(A43,'800'!$A$7:$AB$188,10,FALSE),IF($C$1='Adj-Mixed'!$A$20,VLOOKUP(A43,'800'!$A$7:$AB$188,19,FALSE),IF($C$1='Adj-Mixed'!$A$19,VLOOKUP(A43,'800'!$A$7:$AB$188,28,FALSE)))))</f>
        <v>1.568665723318023</v>
      </c>
      <c r="F43" s="26">
        <f>IF(A43&gt;200,"",IF($C$1='Adj-Mixed'!$A$21,VLOOKUP(A43,'800'!$A$7:$AB$188,7,FALSE),IF($C$1='Adj-Mixed'!$A$20,VLOOKUP(A43,'800'!$A$7:$AB$188,16,FALSE),IF($C$1='Adj-Mixed'!$A$19,VLOOKUP(A43,'800'!$A$7:$AB$188,25,FALSE)))))</f>
        <v>1.0927187317627198</v>
      </c>
      <c r="G43" s="26">
        <f t="shared" si="8"/>
        <v>23.506955441650309</v>
      </c>
      <c r="I43" s="127">
        <f t="shared" si="9"/>
        <v>38.912090316432987</v>
      </c>
      <c r="J43" s="25">
        <f>IF(A43&gt;200,"",(C43*'Adj-Mixed'!$C$6))</f>
        <v>1094.8221792182223</v>
      </c>
      <c r="K43" s="26">
        <f>IF(A43&gt;200,"",D43*'Adj-Mixed'!$C$7)</f>
        <v>0.39964034149559208</v>
      </c>
      <c r="L43" s="1">
        <f t="shared" si="10"/>
        <v>2.5022498886315003</v>
      </c>
      <c r="M43" s="26">
        <f t="shared" si="11"/>
        <v>2.7395186760200936</v>
      </c>
      <c r="N43" s="115">
        <f t="shared" si="12"/>
        <v>58.933503725052617</v>
      </c>
    </row>
    <row r="44" spans="1:14" ht="15" customHeight="1" x14ac:dyDescent="0.25">
      <c r="A44" s="22">
        <f t="shared" si="4"/>
        <v>62</v>
      </c>
      <c r="B44" s="27">
        <f>IF(A44&gt;200,"",IF($C$1='Adj-Mixed'!$A$21,VLOOKUP(A44,'800'!$A$6:$AB$188,4,FALSE),IF($C$1='Adj-Mixed'!$A$20,VLOOKUP(A44,'800'!$A$6:$AB$188,13,FALSE),IF($C$1='Adj-Mixed'!$A$19,VLOOKUP(A44,'800'!$A$6:$AB$188,22,FALSE)))))</f>
        <v>23.962827646152242</v>
      </c>
      <c r="C44" s="25">
        <f t="shared" si="5"/>
        <v>705.97978844940098</v>
      </c>
      <c r="D44" s="26">
        <f t="shared" si="6"/>
        <v>0.62813837608213263</v>
      </c>
      <c r="E44" s="26">
        <f>IF(A44&gt;200,"",IF($C$1='Adj-Mixed'!$A$21,VLOOKUP(A44,'800'!$A$7:$AB$188,10,FALSE),IF($C$1='Adj-Mixed'!$A$20,VLOOKUP(A44,'800'!$A$7:$AB$188,19,FALSE),IF($C$1='Adj-Mixed'!$A$19,VLOOKUP(A44,'800'!$A$7:$AB$188,28,FALSE)))))</f>
        <v>1.5920058988232306</v>
      </c>
      <c r="F44" s="26">
        <f>IF(A44&gt;200,"",IF($C$1='Adj-Mixed'!$A$21,VLOOKUP(A44,'800'!$A$7:$AB$188,7,FALSE),IF($C$1='Adj-Mixed'!$A$20,VLOOKUP(A44,'800'!$A$7:$AB$188,16,FALSE),IF($C$1='Adj-Mixed'!$A$19,VLOOKUP(A44,'800'!$A$7:$AB$188,25,FALSE)))))</f>
        <v>1.1239239876614258</v>
      </c>
      <c r="G44" s="26">
        <f t="shared" si="8"/>
        <v>24.630879429311733</v>
      </c>
      <c r="I44" s="127">
        <f t="shared" si="9"/>
        <v>40.021668409457966</v>
      </c>
      <c r="J44" s="25">
        <f>IF(A44&gt;200,"",(C44*'Adj-Mixed'!$C$6))</f>
        <v>1109.5780930249757</v>
      </c>
      <c r="K44" s="26">
        <f>IF(A44&gt;200,"",D44*'Adj-Mixed'!$C$7)</f>
        <v>0.39378127042282596</v>
      </c>
      <c r="L44" s="1">
        <f t="shared" si="10"/>
        <v>2.539480861865882</v>
      </c>
      <c r="M44" s="26">
        <f t="shared" si="11"/>
        <v>2.8177523319825668</v>
      </c>
      <c r="N44" s="115">
        <f t="shared" si="12"/>
        <v>61.751256057035185</v>
      </c>
    </row>
    <row r="45" spans="1:14" x14ac:dyDescent="0.25">
      <c r="A45" s="22">
        <f t="shared" si="4"/>
        <v>63</v>
      </c>
      <c r="B45" s="27">
        <f>IF(A45&gt;200,"",IF($C$1='Adj-Mixed'!$A$21,VLOOKUP(A45,'800'!$A$6:$AB$188,4,FALSE),IF($C$1='Adj-Mixed'!$A$20,VLOOKUP(A45,'800'!$A$6:$AB$188,13,FALSE),IF($C$1='Adj-Mixed'!$A$19,VLOOKUP(A45,'800'!$A$6:$AB$188,22,FALSE)))))</f>
        <v>24.678047527845305</v>
      </c>
      <c r="C45" s="25">
        <f t="shared" si="5"/>
        <v>715.2198816930628</v>
      </c>
      <c r="D45" s="26">
        <f t="shared" si="6"/>
        <v>0.61908423484130748</v>
      </c>
      <c r="E45" s="26">
        <f>IF(A45&gt;200,"",IF($C$1='Adj-Mixed'!$A$21,VLOOKUP(A45,'800'!$A$7:$AB$188,10,FALSE),IF($C$1='Adj-Mixed'!$A$20,VLOOKUP(A45,'800'!$A$7:$AB$188,19,FALSE),IF($C$1='Adj-Mixed'!$A$19,VLOOKUP(A45,'800'!$A$7:$AB$188,28,FALSE)))))</f>
        <v>1.6152890733138026</v>
      </c>
      <c r="F45" s="26">
        <f>IF(A45&gt;200,"",IF($C$1='Adj-Mixed'!$A$21,VLOOKUP(A45,'800'!$A$7:$AB$188,7,FALSE),IF($C$1='Adj-Mixed'!$A$20,VLOOKUP(A45,'800'!$A$7:$AB$188,16,FALSE),IF($C$1='Adj-Mixed'!$A$19,VLOOKUP(A45,'800'!$A$7:$AB$188,25,FALSE)))))</f>
        <v>1.1552868599155921</v>
      </c>
      <c r="G45" s="26">
        <f t="shared" si="8"/>
        <v>25.786166289227324</v>
      </c>
      <c r="H45" s="1"/>
      <c r="I45" s="127">
        <f t="shared" si="9"/>
        <v>41.145769021694427</v>
      </c>
      <c r="J45" s="25">
        <f>IF(A45&gt;200,"",(C45*'Adj-Mixed'!$C$6))</f>
        <v>1124.1006122364588</v>
      </c>
      <c r="K45" s="26">
        <f>IF(A45&gt;200,"",D45*'Adj-Mixed'!$C$7)</f>
        <v>0.38810521021673267</v>
      </c>
      <c r="L45" s="1">
        <f t="shared" si="10"/>
        <v>2.5766209101948467</v>
      </c>
      <c r="M45" s="26">
        <f t="shared" si="11"/>
        <v>2.8963811426512884</v>
      </c>
      <c r="N45" s="115">
        <f t="shared" si="12"/>
        <v>64.647637199686471</v>
      </c>
    </row>
    <row r="46" spans="1:14" x14ac:dyDescent="0.25">
      <c r="A46" s="22">
        <f t="shared" si="4"/>
        <v>64</v>
      </c>
      <c r="B46" s="27">
        <f>IF(A46&gt;200,"",IF($C$1='Adj-Mixed'!$A$21,VLOOKUP(A46,'800'!$A$6:$AB$188,4,FALSE),IF($C$1='Adj-Mixed'!$A$20,VLOOKUP(A46,'800'!$A$6:$AB$188,13,FALSE),IF($C$1='Adj-Mixed'!$A$19,VLOOKUP(A46,'800'!$A$6:$AB$188,22,FALSE)))))</f>
        <v>25.402357134821955</v>
      </c>
      <c r="C46" s="25">
        <f t="shared" si="5"/>
        <v>724.30960697665012</v>
      </c>
      <c r="D46" s="26">
        <f t="shared" si="6"/>
        <v>0.61031137034781602</v>
      </c>
      <c r="E46" s="26">
        <f>IF(A46&gt;200,"",IF($C$1='Adj-Mixed'!$A$21,VLOOKUP(A46,'800'!$A$7:$AB$188,10,FALSE),IF($C$1='Adj-Mixed'!$A$20,VLOOKUP(A46,'800'!$A$7:$AB$188,19,FALSE),IF($C$1='Adj-Mixed'!$A$19,VLOOKUP(A46,'800'!$A$7:$AB$188,28,FALSE)))))</f>
        <v>1.6385078970921034</v>
      </c>
      <c r="F46" s="26">
        <f>IF(A46&gt;200,"",IF($C$1='Adj-Mixed'!$A$21,VLOOKUP(A46,'800'!$A$7:$AB$188,7,FALSE),IF($C$1='Adj-Mixed'!$A$20,VLOOKUP(A46,'800'!$A$7:$AB$188,16,FALSE),IF($C$1='Adj-Mixed'!$A$19,VLOOKUP(A46,'800'!$A$7:$AB$188,25,FALSE)))))</f>
        <v>1.186787010970916</v>
      </c>
      <c r="G46" s="26">
        <f t="shared" si="8"/>
        <v>26.972953300198242</v>
      </c>
      <c r="H46" s="1"/>
      <c r="I46" s="127">
        <f t="shared" si="9"/>
        <v>42.284155822021958</v>
      </c>
      <c r="J46" s="25">
        <f>IF(A46&gt;200,"",(C46*'Adj-Mixed'!$C$6))</f>
        <v>1138.3868003275313</v>
      </c>
      <c r="K46" s="26">
        <f>IF(A46&gt;200,"",D46*'Adj-Mixed'!$C$7)</f>
        <v>0.38260548299573149</v>
      </c>
      <c r="L46" s="1">
        <f t="shared" si="10"/>
        <v>2.6136583097821324</v>
      </c>
      <c r="M46" s="26">
        <f t="shared" si="11"/>
        <v>2.9753541204223453</v>
      </c>
      <c r="N46" s="115">
        <f t="shared" si="12"/>
        <v>67.62299132010881</v>
      </c>
    </row>
    <row r="47" spans="1:14" x14ac:dyDescent="0.25">
      <c r="A47" s="22">
        <f t="shared" si="4"/>
        <v>65</v>
      </c>
      <c r="B47" s="27">
        <f>IF(A47&gt;200,"",IF($C$1='Adj-Mixed'!$A$21,VLOOKUP(A47,'800'!$A$6:$AB$188,4,FALSE),IF($C$1='Adj-Mixed'!$A$20,VLOOKUP(A47,'800'!$A$6:$AB$188,13,FALSE),IF($C$1='Adj-Mixed'!$A$19,VLOOKUP(A47,'800'!$A$6:$AB$188,22,FALSE)))))</f>
        <v>26.135604335942716</v>
      </c>
      <c r="C47" s="25">
        <f t="shared" si="5"/>
        <v>733.24720112076136</v>
      </c>
      <c r="D47" s="26">
        <f t="shared" si="6"/>
        <v>0.60180948808687984</v>
      </c>
      <c r="E47" s="26">
        <f>IF(A47&gt;200,"",IF($C$1='Adj-Mixed'!$A$21,VLOOKUP(A47,'800'!$A$7:$AB$188,10,FALSE),IF($C$1='Adj-Mixed'!$A$20,VLOOKUP(A47,'800'!$A$7:$AB$188,19,FALSE),IF($C$1='Adj-Mixed'!$A$19,VLOOKUP(A47,'800'!$A$7:$AB$188,28,FALSE)))))</f>
        <v>1.6616554238434267</v>
      </c>
      <c r="F47" s="26">
        <f>IF(A47&gt;200,"",IF($C$1='Adj-Mixed'!$A$21,VLOOKUP(A47,'800'!$A$7:$AB$188,7,FALSE),IF($C$1='Adj-Mixed'!$A$20,VLOOKUP(A47,'800'!$A$7:$AB$188,16,FALSE),IF($C$1='Adj-Mixed'!$A$19,VLOOKUP(A47,'800'!$A$7:$AB$188,25,FALSE)))))</f>
        <v>1.218404188760331</v>
      </c>
      <c r="G47" s="26">
        <f t="shared" si="8"/>
        <v>28.191357488958573</v>
      </c>
      <c r="H47" s="1"/>
      <c r="I47" s="127">
        <f t="shared" si="9"/>
        <v>43.436589708156909</v>
      </c>
      <c r="J47" s="25">
        <f>IF(A47&gt;200,"",(C47*'Adj-Mixed'!$C$6))</f>
        <v>1152.4338861349529</v>
      </c>
      <c r="K47" s="26">
        <f>IF(A47&gt;200,"",D47*'Adj-Mixed'!$C$7)</f>
        <v>0.37727563510683421</v>
      </c>
      <c r="L47" s="1">
        <f t="shared" si="10"/>
        <v>2.6505819802458941</v>
      </c>
      <c r="M47" s="26">
        <f t="shared" si="11"/>
        <v>3.0546204920140543</v>
      </c>
      <c r="N47" s="115">
        <f t="shared" si="12"/>
        <v>70.677611812122862</v>
      </c>
    </row>
    <row r="48" spans="1:14" x14ac:dyDescent="0.25">
      <c r="A48" s="22">
        <f t="shared" si="4"/>
        <v>66</v>
      </c>
      <c r="B48" s="27">
        <f>IF(A48&gt;200,"",IF($C$1='Adj-Mixed'!$A$21,VLOOKUP(A48,'800'!$A$6:$AB$188,4,FALSE),IF($C$1='Adj-Mixed'!$A$20,VLOOKUP(A48,'800'!$A$6:$AB$188,13,FALSE),IF($C$1='Adj-Mixed'!$A$19,VLOOKUP(A48,'800'!$A$6:$AB$188,22,FALSE)))))</f>
        <v>26.87763534159631</v>
      </c>
      <c r="C48" s="25">
        <f t="shared" si="5"/>
        <v>742.03100565359387</v>
      </c>
      <c r="D48" s="26">
        <f t="shared" si="6"/>
        <v>0.59356864680417831</v>
      </c>
      <c r="E48" s="26">
        <f>IF(A48&gt;200,"",IF($C$1='Adj-Mixed'!$A$21,VLOOKUP(A48,'800'!$A$7:$AB$188,10,FALSE),IF($C$1='Adj-Mixed'!$A$20,VLOOKUP(A48,'800'!$A$7:$AB$188,19,FALSE),IF($C$1='Adj-Mixed'!$A$19,VLOOKUP(A48,'800'!$A$7:$AB$188,28,FALSE)))))</f>
        <v>1.6847251036322102</v>
      </c>
      <c r="F48" s="26">
        <f>IF(A48&gt;200,"",IF($C$1='Adj-Mixed'!$A$21,VLOOKUP(A48,'800'!$A$7:$AB$188,7,FALSE),IF($C$1='Adj-Mixed'!$A$20,VLOOKUP(A48,'800'!$A$7:$AB$188,16,FALSE),IF($C$1='Adj-Mixed'!$A$19,VLOOKUP(A48,'800'!$A$7:$AB$188,25,FALSE)))))</f>
        <v>1.2501182628980643</v>
      </c>
      <c r="G48" s="26">
        <f t="shared" si="8"/>
        <v>29.441475751856636</v>
      </c>
      <c r="H48" s="1"/>
      <c r="I48" s="127">
        <f t="shared" si="9"/>
        <v>44.602828971219793</v>
      </c>
      <c r="J48" s="25">
        <f>IF(A48&gt;200,"",(C48*'Adj-Mixed'!$C$6))</f>
        <v>1166.2392630628833</v>
      </c>
      <c r="K48" s="26">
        <f>IF(A48&gt;200,"",D48*'Adj-Mixed'!$C$7)</f>
        <v>0.37210943435677724</v>
      </c>
      <c r="L48" s="1">
        <f t="shared" si="10"/>
        <v>2.6873814734866501</v>
      </c>
      <c r="M48" s="26">
        <f t="shared" si="11"/>
        <v>3.1341297892079165</v>
      </c>
      <c r="N48" s="115">
        <f t="shared" si="12"/>
        <v>73.81174160133078</v>
      </c>
    </row>
    <row r="49" spans="1:14" x14ac:dyDescent="0.25">
      <c r="A49" s="22">
        <f t="shared" si="4"/>
        <v>67</v>
      </c>
      <c r="B49" s="27">
        <f>IF(A49&gt;200,"",IF($C$1='Adj-Mixed'!$A$21,VLOOKUP(A49,'800'!$A$6:$AB$188,4,FALSE),IF($C$1='Adj-Mixed'!$A$20,VLOOKUP(A49,'800'!$A$6:$AB$188,13,FALSE),IF($C$1='Adj-Mixed'!$A$19,VLOOKUP(A49,'800'!$A$6:$AB$188,22,FALSE)))))</f>
        <v>27.628294807832077</v>
      </c>
      <c r="C49" s="25">
        <f t="shared" si="5"/>
        <v>750.65946623576701</v>
      </c>
      <c r="D49" s="26">
        <f t="shared" si="6"/>
        <v>0.58557925250540643</v>
      </c>
      <c r="E49" s="26">
        <f>IF(A49&gt;200,"",IF($C$1='Adj-Mixed'!$A$21,VLOOKUP(A49,'800'!$A$7:$AB$188,10,FALSE),IF($C$1='Adj-Mixed'!$A$20,VLOOKUP(A49,'800'!$A$7:$AB$188,19,FALSE),IF($C$1='Adj-Mixed'!$A$19,VLOOKUP(A49,'800'!$A$7:$AB$188,28,FALSE)))))</f>
        <v>1.707710776502908</v>
      </c>
      <c r="F49" s="26">
        <f>IF(A49&gt;200,"",IF($C$1='Adj-Mixed'!$A$21,VLOOKUP(A49,'800'!$A$7:$AB$188,7,FALSE),IF($C$1='Adj-Mixed'!$A$20,VLOOKUP(A49,'800'!$A$7:$AB$188,16,FALSE),IF($C$1='Adj-Mixed'!$A$19,VLOOKUP(A49,'800'!$A$7:$AB$188,25,FALSE)))))</f>
        <v>1.2819092599747341</v>
      </c>
      <c r="G49" s="26">
        <f t="shared" si="8"/>
        <v>30.723385011831372</v>
      </c>
      <c r="H49" s="1"/>
      <c r="I49" s="127">
        <f t="shared" si="9"/>
        <v>45.782629459398677</v>
      </c>
      <c r="J49" s="25">
        <f>IF(A49&gt;200,"",(C49*'Adj-Mixed'!$C$6))</f>
        <v>1179.8004881788838</v>
      </c>
      <c r="K49" s="26">
        <f>IF(A49&gt;200,"",D49*'Adj-Mixed'!$C$7)</f>
        <v>0.367100866250332</v>
      </c>
      <c r="L49" s="1">
        <f t="shared" si="10"/>
        <v>2.7240469634797426</v>
      </c>
      <c r="M49" s="26">
        <f t="shared" si="11"/>
        <v>3.2138319373356059</v>
      </c>
      <c r="N49" s="115">
        <f t="shared" si="12"/>
        <v>77.025573538666393</v>
      </c>
    </row>
    <row r="50" spans="1:14" x14ac:dyDescent="0.25">
      <c r="A50" s="22">
        <f t="shared" si="4"/>
        <v>68</v>
      </c>
      <c r="B50" s="27">
        <f>IF(A50&gt;200,"",IF($C$1='Adj-Mixed'!$A$21,VLOOKUP(A50,'800'!$A$6:$AB$188,4,FALSE),IF($C$1='Adj-Mixed'!$A$20,VLOOKUP(A50,'800'!$A$6:$AB$188,13,FALSE),IF($C$1='Adj-Mixed'!$A$19,VLOOKUP(A50,'800'!$A$6:$AB$188,22,FALSE)))))</f>
        <v>28.387425939847148</v>
      </c>
      <c r="C50" s="25">
        <f t="shared" si="5"/>
        <v>759.13113201507088</v>
      </c>
      <c r="D50" s="26">
        <f t="shared" si="6"/>
        <v>0.57783205122835768</v>
      </c>
      <c r="E50" s="26">
        <f>IF(A50&gt;200,"",IF($C$1='Adj-Mixed'!$A$21,VLOOKUP(A50,'800'!$A$7:$AB$188,10,FALSE),IF($C$1='Adj-Mixed'!$A$20,VLOOKUP(A50,'800'!$A$7:$AB$188,19,FALSE),IF($C$1='Adj-Mixed'!$A$19,VLOOKUP(A50,'800'!$A$7:$AB$188,28,FALSE)))))</f>
        <v>1.7306066665464401</v>
      </c>
      <c r="F50" s="26">
        <f>IF(A50&gt;200,"",IF($C$1='Adj-Mixed'!$A$21,VLOOKUP(A50,'800'!$A$7:$AB$188,7,FALSE),IF($C$1='Adj-Mixed'!$A$20,VLOOKUP(A50,'800'!$A$7:$AB$188,16,FALSE),IF($C$1='Adj-Mixed'!$A$19,VLOOKUP(A50,'800'!$A$7:$AB$188,25,FALSE)))))</f>
        <v>1.3137573978482306</v>
      </c>
      <c r="G50" s="26">
        <f t="shared" si="8"/>
        <v>32.037142409679603</v>
      </c>
      <c r="H50" s="1"/>
      <c r="I50" s="127">
        <f t="shared" si="9"/>
        <v>46.975744740598465</v>
      </c>
      <c r="J50" s="25">
        <f>IF(A50&gt;200,"",(C50*'Adj-Mixed'!$C$6))</f>
        <v>1193.1152811997872</v>
      </c>
      <c r="K50" s="26">
        <f>IF(A50&gt;200,"",D50*'Adj-Mixed'!$C$7)</f>
        <v>0.36224412945910833</v>
      </c>
      <c r="L50" s="1">
        <f t="shared" si="10"/>
        <v>2.7605692368104595</v>
      </c>
      <c r="M50" s="26">
        <f t="shared" si="11"/>
        <v>3.2936773412485931</v>
      </c>
      <c r="N50" s="115">
        <f t="shared" si="12"/>
        <v>80.319250879914989</v>
      </c>
    </row>
    <row r="51" spans="1:14" x14ac:dyDescent="0.25">
      <c r="A51" s="22">
        <f t="shared" si="4"/>
        <v>69</v>
      </c>
      <c r="B51" s="27">
        <f>IF(A51&gt;200,"",IF($C$1='Adj-Mixed'!$A$21,VLOOKUP(A51,'800'!$A$6:$AB$188,4,FALSE),IF($C$1='Adj-Mixed'!$A$20,VLOOKUP(A51,'800'!$A$6:$AB$188,13,FALSE),IF($C$1='Adj-Mixed'!$A$19,VLOOKUP(A51,'800'!$A$6:$AB$188,22,FALSE)))))</f>
        <v>29.154870594758094</v>
      </c>
      <c r="C51" s="25">
        <f t="shared" si="5"/>
        <v>767.44465491094616</v>
      </c>
      <c r="D51" s="26">
        <f t="shared" si="6"/>
        <v>0.57031812088296208</v>
      </c>
      <c r="E51" s="26">
        <f>IF(A51&gt;200,"",IF($C$1='Adj-Mixed'!$A$21,VLOOKUP(A51,'800'!$A$7:$AB$188,10,FALSE),IF($C$1='Adj-Mixed'!$A$20,VLOOKUP(A51,'800'!$A$7:$AB$188,19,FALSE),IF($C$1='Adj-Mixed'!$A$19,VLOOKUP(A51,'800'!$A$7:$AB$188,28,FALSE)))))</f>
        <v>1.753407376310975</v>
      </c>
      <c r="F51" s="26">
        <f>IF(A51&gt;200,"",IF($C$1='Adj-Mixed'!$A$21,VLOOKUP(A51,'800'!$A$7:$AB$188,7,FALSE),IF($C$1='Adj-Mixed'!$A$20,VLOOKUP(A51,'800'!$A$7:$AB$188,16,FALSE),IF($C$1='Adj-Mixed'!$A$19,VLOOKUP(A51,'800'!$A$7:$AB$188,25,FALSE)))))</f>
        <v>1.345643118831287</v>
      </c>
      <c r="G51" s="26">
        <f t="shared" si="8"/>
        <v>33.382785528510894</v>
      </c>
      <c r="H51" s="1"/>
      <c r="I51" s="127">
        <f t="shared" si="9"/>
        <v>48.181926263965586</v>
      </c>
      <c r="J51" s="25">
        <f>IF(A51&gt;200,"",(C51*'Adj-Mixed'!$C$6))</f>
        <v>1206.1815233671236</v>
      </c>
      <c r="K51" s="26">
        <f>IF(A51&gt;200,"",D51*'Adj-Mixed'!$C$7)</f>
        <v>0.35753363070605709</v>
      </c>
      <c r="L51" s="1">
        <f t="shared" si="10"/>
        <v>2.7969396837584228</v>
      </c>
      <c r="M51" s="26">
        <f t="shared" si="11"/>
        <v>3.373616968521695</v>
      </c>
      <c r="N51" s="115">
        <f t="shared" si="12"/>
        <v>83.692867848436691</v>
      </c>
    </row>
    <row r="52" spans="1:14" x14ac:dyDescent="0.25">
      <c r="A52" s="22">
        <f t="shared" si="4"/>
        <v>70</v>
      </c>
      <c r="B52" s="27">
        <f>IF(A52&gt;200,"",IF($C$1='Adj-Mixed'!$A$21,VLOOKUP(A52,'800'!$A$6:$AB$188,4,FALSE),IF($C$1='Adj-Mixed'!$A$20,VLOOKUP(A52,'800'!$A$6:$AB$188,13,FALSE),IF($C$1='Adj-Mixed'!$A$19,VLOOKUP(A52,'800'!$A$6:$AB$188,22,FALSE)))))</f>
        <v>29.930469383586718</v>
      </c>
      <c r="C52" s="25">
        <f t="shared" si="5"/>
        <v>775.59878882862427</v>
      </c>
      <c r="D52" s="26">
        <f t="shared" si="6"/>
        <v>0.56302886240361127</v>
      </c>
      <c r="E52" s="26">
        <f>IF(A52&gt;200,"",IF($C$1='Adj-Mixed'!$A$21,VLOOKUP(A52,'800'!$A$7:$AB$188,10,FALSE),IF($C$1='Adj-Mixed'!$A$20,VLOOKUP(A52,'800'!$A$7:$AB$188,19,FALSE),IF($C$1='Adj-Mixed'!$A$19,VLOOKUP(A52,'800'!$A$7:$AB$188,28,FALSE)))))</f>
        <v>1.7761078814519866</v>
      </c>
      <c r="F52" s="26">
        <f>IF(A52&gt;200,"",IF($C$1='Adj-Mixed'!$A$21,VLOOKUP(A52,'800'!$A$7:$AB$188,7,FALSE),IF($C$1='Adj-Mixed'!$A$20,VLOOKUP(A52,'800'!$A$7:$AB$188,16,FALSE),IF($C$1='Adj-Mixed'!$A$19,VLOOKUP(A52,'800'!$A$7:$AB$188,25,FALSE)))))</f>
        <v>1.3775471216831283</v>
      </c>
      <c r="G52" s="26">
        <f t="shared" si="8"/>
        <v>34.760332650194023</v>
      </c>
      <c r="H52" s="1"/>
      <c r="I52" s="127">
        <f t="shared" si="9"/>
        <v>49.400923520177585</v>
      </c>
      <c r="J52" s="25">
        <f>IF(A52&gt;200,"",(C52*'Adj-Mixed'!$C$6))</f>
        <v>1218.9972562119967</v>
      </c>
      <c r="K52" s="26">
        <f>IF(A52&gt;200,"",D52*'Adj-Mixed'!$C$7)</f>
        <v>0.35296397921884437</v>
      </c>
      <c r="L52" s="1">
        <f t="shared" si="10"/>
        <v>2.8331502897636502</v>
      </c>
      <c r="M52" s="26">
        <f t="shared" si="11"/>
        <v>3.4536024296581136</v>
      </c>
      <c r="N52" s="115">
        <f t="shared" si="12"/>
        <v>87.14647027809481</v>
      </c>
    </row>
    <row r="53" spans="1:14" x14ac:dyDescent="0.25">
      <c r="A53" s="22">
        <f t="shared" si="4"/>
        <v>71</v>
      </c>
      <c r="B53" s="27">
        <f>IF(A53&gt;200,"",IF($C$1='Adj-Mixed'!$A$21,VLOOKUP(A53,'800'!$A$6:$AB$188,4,FALSE),IF($C$1='Adj-Mixed'!$A$20,VLOOKUP(A53,'800'!$A$6:$AB$188,13,FALSE),IF($C$1='Adj-Mixed'!$A$19,VLOOKUP(A53,'800'!$A$6:$AB$188,22,FALSE)))))</f>
        <v>30.714061772390419</v>
      </c>
      <c r="C53" s="25">
        <f t="shared" si="5"/>
        <v>783.59238880370083</v>
      </c>
      <c r="D53" s="26">
        <f t="shared" si="6"/>
        <v>0.55595599041560906</v>
      </c>
      <c r="E53" s="26">
        <f>IF(A53&gt;200,"",IF($C$1='Adj-Mixed'!$A$21,VLOOKUP(A53,'800'!$A$7:$AB$188,10,FALSE),IF($C$1='Adj-Mixed'!$A$20,VLOOKUP(A53,'800'!$A$7:$AB$188,19,FALSE),IF($C$1='Adj-Mixed'!$A$19,VLOOKUP(A53,'800'!$A$7:$AB$188,28,FALSE)))))</f>
        <v>1.798703525529858</v>
      </c>
      <c r="F53" s="26">
        <f>IF(A53&gt;200,"",IF($C$1='Adj-Mixed'!$A$21,VLOOKUP(A53,'800'!$A$7:$AB$188,7,FALSE),IF($C$1='Adj-Mixed'!$A$20,VLOOKUP(A53,'800'!$A$7:$AB$188,16,FALSE),IF($C$1='Adj-Mixed'!$A$19,VLOOKUP(A53,'800'!$A$7:$AB$188,25,FALSE)))))</f>
        <v>1.4094503923195831</v>
      </c>
      <c r="G53" s="26">
        <f t="shared" si="8"/>
        <v>36.169783042513608</v>
      </c>
      <c r="H53" s="1"/>
      <c r="I53" s="127">
        <f t="shared" si="9"/>
        <v>50.632484200388205</v>
      </c>
      <c r="J53" s="25">
        <f>IF(A53&gt;200,"",(C53*'Adj-Mixed'!$C$6))</f>
        <v>1231.5606802106224</v>
      </c>
      <c r="K53" s="26">
        <f>IF(A53&gt;200,"",D53*'Adj-Mixed'!$C$7)</f>
        <v>0.34852998087862935</v>
      </c>
      <c r="L53" s="1">
        <f t="shared" si="10"/>
        <v>2.8691936271279799</v>
      </c>
      <c r="M53" s="26">
        <f t="shared" si="11"/>
        <v>3.533586055081718</v>
      </c>
      <c r="N53" s="115">
        <f t="shared" si="12"/>
        <v>90.680056333176523</v>
      </c>
    </row>
    <row r="54" spans="1:14" x14ac:dyDescent="0.25">
      <c r="A54" s="22">
        <f t="shared" si="4"/>
        <v>72</v>
      </c>
      <c r="B54" s="27">
        <f>IF(A54&gt;200,"",IF($C$1='Adj-Mixed'!$A$21,VLOOKUP(A54,'800'!$A$6:$AB$188,4,FALSE),IF($C$1='Adj-Mixed'!$A$20,VLOOKUP(A54,'800'!$A$6:$AB$188,13,FALSE),IF($C$1='Adj-Mixed'!$A$19,VLOOKUP(A54,'800'!$A$6:$AB$188,22,FALSE)))))</f>
        <v>31.505486182468047</v>
      </c>
      <c r="C54" s="25">
        <f t="shared" si="5"/>
        <v>791.42441007762795</v>
      </c>
      <c r="D54" s="26">
        <f t="shared" si="6"/>
        <v>0.5490915235813828</v>
      </c>
      <c r="E54" s="26">
        <f>IF(A54&gt;200,"",IF($C$1='Adj-Mixed'!$A$21,VLOOKUP(A54,'800'!$A$7:$AB$188,10,FALSE),IF($C$1='Adj-Mixed'!$A$20,VLOOKUP(A54,'800'!$A$7:$AB$188,19,FALSE),IF($C$1='Adj-Mixed'!$A$19,VLOOKUP(A54,'800'!$A$7:$AB$188,28,FALSE)))))</f>
        <v>1.8211900148769762</v>
      </c>
      <c r="F54" s="26">
        <f>IF(A54&gt;200,"",IF($C$1='Adj-Mixed'!$A$21,VLOOKUP(A54,'800'!$A$7:$AB$188,7,FALSE),IF($C$1='Adj-Mixed'!$A$20,VLOOKUP(A54,'800'!$A$7:$AB$188,16,FALSE),IF($C$1='Adj-Mixed'!$A$19,VLOOKUP(A54,'800'!$A$7:$AB$188,25,FALSE)))))</f>
        <v>1.4413342331632741</v>
      </c>
      <c r="G54" s="26">
        <f t="shared" si="8"/>
        <v>37.611117275676882</v>
      </c>
      <c r="H54" s="1"/>
      <c r="I54" s="127">
        <f t="shared" si="9"/>
        <v>51.876354353719499</v>
      </c>
      <c r="J54" s="25">
        <f>IF(A54&gt;200,"",(C54*'Adj-Mixed'!$C$6))</f>
        <v>1243.8701533312937</v>
      </c>
      <c r="K54" s="26">
        <f>IF(A54&gt;200,"",D54*'Adj-Mixed'!$C$7)</f>
        <v>0.34422663216808419</v>
      </c>
      <c r="L54" s="1">
        <f t="shared" si="10"/>
        <v>2.9050628468273336</v>
      </c>
      <c r="M54" s="26">
        <f t="shared" si="11"/>
        <v>3.6135209687201599</v>
      </c>
      <c r="N54" s="115">
        <f t="shared" si="12"/>
        <v>94.29357730189669</v>
      </c>
    </row>
    <row r="55" spans="1:14" x14ac:dyDescent="0.25">
      <c r="A55" s="22">
        <f t="shared" si="4"/>
        <v>73</v>
      </c>
      <c r="B55" s="27">
        <f>IF(A55&gt;200,"",IF($C$1='Adj-Mixed'!$A$21,VLOOKUP(A55,'800'!$A$6:$AB$188,4,FALSE),IF($C$1='Adj-Mixed'!$A$20,VLOOKUP(A55,'800'!$A$6:$AB$188,13,FALSE),IF($C$1='Adj-Mixed'!$A$19,VLOOKUP(A55,'800'!$A$6:$AB$188,22,FALSE)))))</f>
        <v>32.304580089573051</v>
      </c>
      <c r="C55" s="25">
        <f t="shared" si="5"/>
        <v>799.09390710500361</v>
      </c>
      <c r="D55" s="26">
        <f t="shared" si="6"/>
        <v>0.54242777476224746</v>
      </c>
      <c r="E55" s="26">
        <f>IF(A55&gt;200,"",IF($C$1='Adj-Mixed'!$A$21,VLOOKUP(A55,'800'!$A$7:$AB$188,10,FALSE),IF($C$1='Adj-Mixed'!$A$20,VLOOKUP(A55,'800'!$A$7:$AB$188,19,FALSE),IF($C$1='Adj-Mixed'!$A$19,VLOOKUP(A55,'800'!$A$7:$AB$188,28,FALSE)))))</f>
        <v>1.8435634134670036</v>
      </c>
      <c r="F55" s="26">
        <f>IF(A55&gt;200,"",IF($C$1='Adj-Mixed'!$A$21,VLOOKUP(A55,'800'!$A$7:$AB$188,7,FALSE),IF($C$1='Adj-Mixed'!$A$20,VLOOKUP(A55,'800'!$A$7:$AB$188,16,FALSE),IF($C$1='Adj-Mixed'!$A$19,VLOOKUP(A55,'800'!$A$7:$AB$188,25,FALSE)))))</f>
        <v>1.4731802910631884</v>
      </c>
      <c r="G55" s="26">
        <f t="shared" si="8"/>
        <v>39.084297566740069</v>
      </c>
      <c r="H55" s="1"/>
      <c r="I55" s="127">
        <f t="shared" si="9"/>
        <v>53.13227854319365</v>
      </c>
      <c r="J55" s="25">
        <f>IF(A55&gt;200,"",(C55*'Adj-Mixed'!$C$6))</f>
        <v>1255.9241894741517</v>
      </c>
      <c r="K55" s="26">
        <f>IF(A55&gt;200,"",D55*'Adj-Mixed'!$C$7)</f>
        <v>0.34004911400378307</v>
      </c>
      <c r="L55" s="1">
        <f t="shared" si="10"/>
        <v>2.9407516703274661</v>
      </c>
      <c r="M55" s="26">
        <f t="shared" si="11"/>
        <v>3.6933611580007808</v>
      </c>
      <c r="N55" s="115">
        <f t="shared" si="12"/>
        <v>97.986938459897473</v>
      </c>
    </row>
    <row r="56" spans="1:14" x14ac:dyDescent="0.25">
      <c r="A56" s="22">
        <f t="shared" si="4"/>
        <v>74</v>
      </c>
      <c r="B56" s="27">
        <f>IF(A56&gt;200,"",IF($C$1='Adj-Mixed'!$A$21,VLOOKUP(A56,'800'!$A$6:$AB$188,4,FALSE),IF($C$1='Adj-Mixed'!$A$20,VLOOKUP(A56,'800'!$A$6:$AB$188,13,FALSE),IF($C$1='Adj-Mixed'!$A$19,VLOOKUP(A56,'800'!$A$6:$AB$188,22,FALSE)))))</f>
        <v>33.111180122067353</v>
      </c>
      <c r="C56" s="25">
        <f t="shared" si="5"/>
        <v>806.6000324943019</v>
      </c>
      <c r="D56" s="26">
        <f t="shared" si="6"/>
        <v>0.53595734110643256</v>
      </c>
      <c r="E56" s="26">
        <f>IF(A56&gt;200,"",IF($C$1='Adj-Mixed'!$A$21,VLOOKUP(A56,'800'!$A$7:$AB$188,10,FALSE),IF($C$1='Adj-Mixed'!$A$20,VLOOKUP(A56,'800'!$A$7:$AB$188,19,FALSE),IF($C$1='Adj-Mixed'!$A$19,VLOOKUP(A56,'800'!$A$7:$AB$188,28,FALSE)))))</f>
        <v>1.8658201377288646</v>
      </c>
      <c r="F56" s="26">
        <f>IF(A56&gt;200,"",IF($C$1='Adj-Mixed'!$A$21,VLOOKUP(A56,'800'!$A$7:$AB$188,7,FALSE),IF($C$1='Adj-Mixed'!$A$20,VLOOKUP(A56,'800'!$A$7:$AB$188,16,FALSE),IF($C$1='Adj-Mixed'!$A$19,VLOOKUP(A56,'800'!$A$7:$AB$188,25,FALSE)))))</f>
        <v>1.5049705837206315</v>
      </c>
      <c r="G56" s="26">
        <f t="shared" si="8"/>
        <v>40.589268150460704</v>
      </c>
      <c r="H56" s="1"/>
      <c r="I56" s="127">
        <f t="shared" si="9"/>
        <v>54.4</v>
      </c>
      <c r="J56" s="25">
        <f>IF(A56&gt;200,"",(C56*'Adj-Mixed'!$C$6))</f>
        <v>1267.7214568063464</v>
      </c>
      <c r="K56" s="26">
        <f>IF(A56&gt;200,"",D56*'Adj-Mixed'!$C$7)</f>
        <v>0.33599278552236539</v>
      </c>
      <c r="L56" s="1">
        <f t="shared" si="10"/>
        <v>2.9762543813115143</v>
      </c>
      <c r="M56" s="26">
        <f t="shared" si="11"/>
        <v>3.7730615401025043</v>
      </c>
      <c r="N56" s="115">
        <f t="shared" si="12"/>
        <v>101.75999999999998</v>
      </c>
    </row>
    <row r="57" spans="1:14" x14ac:dyDescent="0.25">
      <c r="A57" s="22">
        <f t="shared" si="4"/>
        <v>75</v>
      </c>
      <c r="B57" s="27">
        <f>IF(A57&gt;200,"",IF($C$1='Adj-Mixed'!$A$21,VLOOKUP(A57,'800'!$A$6:$AB$188,4,FALSE),IF($C$1='Adj-Mixed'!$A$20,VLOOKUP(A57,'800'!$A$6:$AB$188,13,FALSE),IF($C$1='Adj-Mixed'!$A$19,VLOOKUP(A57,'800'!$A$6:$AB$188,22,FALSE)))))</f>
        <v>33.925122157950149</v>
      </c>
      <c r="C57" s="25">
        <f t="shared" si="5"/>
        <v>813.94203588279629</v>
      </c>
      <c r="D57" s="26">
        <f t="shared" si="6"/>
        <v>0.52967309415250818</v>
      </c>
      <c r="E57" s="26">
        <f>IF(A57&gt;200,"",IF($C$1='Adj-Mixed'!$A$21,VLOOKUP(A57,'800'!$A$7:$AB$188,10,FALSE),IF($C$1='Adj-Mixed'!$A$20,VLOOKUP(A57,'800'!$A$7:$AB$188,19,FALSE),IF($C$1='Adj-Mixed'!$A$19,VLOOKUP(A57,'800'!$A$7:$AB$188,28,FALSE)))))</f>
        <v>1.887956951258829</v>
      </c>
      <c r="F57" s="26">
        <f>IF(A57&gt;200,"",IF($C$1='Adj-Mixed'!$A$21,VLOOKUP(A57,'800'!$A$7:$AB$188,7,FALSE),IF($C$1='Adj-Mixed'!$A$20,VLOOKUP(A57,'800'!$A$7:$AB$188,16,FALSE),IF($C$1='Adj-Mixed'!$A$19,VLOOKUP(A57,'800'!$A$7:$AB$188,25,FALSE)))))</f>
        <v>1.5366875245666818</v>
      </c>
      <c r="G57" s="26">
        <f t="shared" si="8"/>
        <v>42.125955675027384</v>
      </c>
      <c r="H57" s="1"/>
      <c r="I57" s="127">
        <f t="shared" si="9"/>
        <v>55.679260775993768</v>
      </c>
      <c r="J57" s="25">
        <f>IF(A57&gt;200,"",(C57*'Adj-Mixed'!$C$6))</f>
        <v>1279.2607759937716</v>
      </c>
      <c r="K57" s="26">
        <f>IF(A57&gt;200,"",D57*'Adj-Mixed'!$C$7)</f>
        <v>0.3320531778763528</v>
      </c>
      <c r="L57" s="1">
        <f t="shared" si="10"/>
        <v>3.0115658172450068</v>
      </c>
      <c r="M57" s="26">
        <f t="shared" si="11"/>
        <v>3.8525780243251639</v>
      </c>
      <c r="N57" s="115">
        <f t="shared" si="12"/>
        <v>105.61257802432515</v>
      </c>
    </row>
    <row r="58" spans="1:14" x14ac:dyDescent="0.25">
      <c r="A58" s="22">
        <f t="shared" si="4"/>
        <v>76</v>
      </c>
      <c r="B58" s="27">
        <f>IF(A58&gt;200,"",IF($C$1='Adj-Mixed'!$A$21,VLOOKUP(A58,'800'!$A$6:$AB$188,4,FALSE),IF($C$1='Adj-Mixed'!$A$20,VLOOKUP(A58,'800'!$A$6:$AB$188,13,FALSE),IF($C$1='Adj-Mixed'!$A$19,VLOOKUP(A58,'800'!$A$6:$AB$188,22,FALSE)))))</f>
        <v>34.746241420697984</v>
      </c>
      <c r="C58" s="25">
        <f t="shared" si="5"/>
        <v>821.11926274783536</v>
      </c>
      <c r="D58" s="26">
        <f t="shared" si="6"/>
        <v>0.52356817002040068</v>
      </c>
      <c r="E58" s="26">
        <f>IF(A58&gt;200,"",IF($C$1='Adj-Mixed'!$A$21,VLOOKUP(A58,'800'!$A$7:$AB$188,10,FALSE),IF($C$1='Adj-Mixed'!$A$20,VLOOKUP(A58,'800'!$A$7:$AB$188,19,FALSE),IF($C$1='Adj-Mixed'!$A$19,VLOOKUP(A58,'800'!$A$7:$AB$188,28,FALSE)))))</f>
        <v>1.9099709593901313</v>
      </c>
      <c r="F58" s="26">
        <f>IF(A58&gt;200,"",IF($C$1='Adj-Mixed'!$A$21,VLOOKUP(A58,'800'!$A$7:$AB$188,7,FALSE),IF($C$1='Adj-Mixed'!$A$20,VLOOKUP(A58,'800'!$A$7:$AB$188,16,FALSE),IF($C$1='Adj-Mixed'!$A$19,VLOOKUP(A58,'800'!$A$7:$AB$188,25,FALSE)))))</f>
        <v>1.5683139460442006</v>
      </c>
      <c r="G58" s="26">
        <f t="shared" si="8"/>
        <v>43.694269621071584</v>
      </c>
      <c r="H58" s="1"/>
      <c r="I58" s="127">
        <f t="shared" si="9"/>
        <v>56.96980189432653</v>
      </c>
      <c r="J58" s="25">
        <f>IF(A58&gt;200,"",(C58*'Adj-Mixed'!$C$6))</f>
        <v>1290.5411183327626</v>
      </c>
      <c r="K58" s="26">
        <f>IF(A58&gt;200,"",D58*'Adj-Mixed'!$C$7)</f>
        <v>0.32822598808487613</v>
      </c>
      <c r="L58" s="1">
        <f t="shared" si="10"/>
        <v>3.0466813607136114</v>
      </c>
      <c r="M58" s="26">
        <f t="shared" si="11"/>
        <v>3.9318675704589272</v>
      </c>
      <c r="N58" s="115">
        <f t="shared" si="12"/>
        <v>109.54444559478408</v>
      </c>
    </row>
    <row r="59" spans="1:14" x14ac:dyDescent="0.25">
      <c r="A59" s="22">
        <f t="shared" si="4"/>
        <v>77</v>
      </c>
      <c r="B59" s="27">
        <f>IF(A59&gt;200,"",IF($C$1='Adj-Mixed'!$A$21,VLOOKUP(A59,'800'!$A$6:$AB$188,4,FALSE),IF($C$1='Adj-Mixed'!$A$20,VLOOKUP(A59,'800'!$A$6:$AB$188,13,FALSE),IF($C$1='Adj-Mixed'!$A$19,VLOOKUP(A59,'800'!$A$6:$AB$188,22,FALSE)))))</f>
        <v>35.574372573853992</v>
      </c>
      <c r="C59" s="25">
        <f t="shared" si="5"/>
        <v>828.13115315600783</v>
      </c>
      <c r="D59" s="26">
        <f t="shared" si="6"/>
        <v>0.51763595974682053</v>
      </c>
      <c r="E59" s="26">
        <f>IF(A59&gt;200,"",IF($C$1='Adj-Mixed'!$A$21,VLOOKUP(A59,'800'!$A$7:$AB$188,10,FALSE),IF($C$1='Adj-Mixed'!$A$20,VLOOKUP(A59,'800'!$A$7:$AB$188,19,FALSE),IF($C$1='Adj-Mixed'!$A$19,VLOOKUP(A59,'800'!$A$7:$AB$188,28,FALSE)))))</f>
        <v>1.9318596035891851</v>
      </c>
      <c r="F59" s="26">
        <f>IF(A59&gt;200,"",IF($C$1='Adj-Mixed'!$A$21,VLOOKUP(A59,'800'!$A$7:$AB$188,7,FALSE),IF($C$1='Adj-Mixed'!$A$20,VLOOKUP(A59,'800'!$A$7:$AB$188,16,FALSE),IF($C$1='Adj-Mixed'!$A$19,VLOOKUP(A59,'800'!$A$7:$AB$188,25,FALSE)))))</f>
        <v>1.5998331212558199</v>
      </c>
      <c r="G59" s="26">
        <f t="shared" si="8"/>
        <v>45.294102742327404</v>
      </c>
      <c r="H59" s="1"/>
      <c r="I59" s="127">
        <f t="shared" si="9"/>
        <v>58.271363498110709</v>
      </c>
      <c r="J59" s="25">
        <f>IF(A59&gt;200,"",(C59*'Adj-Mixed'!$C$6))</f>
        <v>1301.5616037841783</v>
      </c>
      <c r="K59" s="26">
        <f>IF(A59&gt;200,"",D59*'Adj-Mixed'!$C$7)</f>
        <v>0.32450707297493497</v>
      </c>
      <c r="L59" s="1">
        <f t="shared" si="10"/>
        <v>3.0815969304842867</v>
      </c>
      <c r="M59" s="26">
        <f t="shared" si="11"/>
        <v>4.0108882430575283</v>
      </c>
      <c r="N59" s="115">
        <f t="shared" si="12"/>
        <v>113.5553338378416</v>
      </c>
    </row>
    <row r="60" spans="1:14" x14ac:dyDescent="0.25">
      <c r="A60" s="22">
        <f t="shared" si="4"/>
        <v>78</v>
      </c>
      <c r="B60" s="27">
        <f>IF(A60&gt;200,"",IF($C$1='Adj-Mixed'!$A$21,VLOOKUP(A60,'800'!$A$6:$AB$188,4,FALSE),IF($C$1='Adj-Mixed'!$A$20,VLOOKUP(A60,'800'!$A$6:$AB$188,13,FALSE),IF($C$1='Adj-Mixed'!$A$19,VLOOKUP(A60,'800'!$A$6:$AB$188,22,FALSE)))))</f>
        <v>36.409349814306033</v>
      </c>
      <c r="C60" s="25">
        <f t="shared" si="5"/>
        <v>834.97724045204086</v>
      </c>
      <c r="D60" s="26">
        <f t="shared" si="6"/>
        <v>0.5118700998100143</v>
      </c>
      <c r="E60" s="26">
        <f>IF(A60&gt;200,"",IF($C$1='Adj-Mixed'!$A$21,VLOOKUP(A60,'800'!$A$7:$AB$188,10,FALSE),IF($C$1='Adj-Mixed'!$A$20,VLOOKUP(A60,'800'!$A$7:$AB$188,19,FALSE),IF($C$1='Adj-Mixed'!$A$19,VLOOKUP(A60,'800'!$A$7:$AB$188,28,FALSE)))))</f>
        <v>1.9536206556529869</v>
      </c>
      <c r="F60" s="26">
        <f>IF(A60&gt;200,"",IF($C$1='Adj-Mixed'!$A$21,VLOOKUP(A60,'800'!$A$7:$AB$188,7,FALSE),IF($C$1='Adj-Mixed'!$A$20,VLOOKUP(A60,'800'!$A$7:$AB$188,16,FALSE),IF($C$1='Adj-Mixed'!$A$19,VLOOKUP(A60,'800'!$A$7:$AB$188,25,FALSE)))))</f>
        <v>1.6312287839472377</v>
      </c>
      <c r="G60" s="26">
        <f t="shared" si="8"/>
        <v>46.92533152627464</v>
      </c>
      <c r="H60" s="1"/>
      <c r="I60" s="127">
        <f t="shared" si="9"/>
        <v>59.583684997023468</v>
      </c>
      <c r="J60" s="25">
        <f>IF(A60&gt;200,"",(C60*'Adj-Mixed'!$C$6))</f>
        <v>1312.3214989127614</v>
      </c>
      <c r="K60" s="26">
        <f>IF(A60&gt;200,"",D60*'Adj-Mixed'!$C$7)</f>
        <v>0.32089244324134464</v>
      </c>
      <c r="L60" s="1">
        <f t="shared" si="10"/>
        <v>3.1163089722492954</v>
      </c>
      <c r="M60" s="26">
        <f t="shared" si="11"/>
        <v>4.0895992615374821</v>
      </c>
      <c r="N60" s="115">
        <f t="shared" si="12"/>
        <v>117.64493309937909</v>
      </c>
    </row>
    <row r="61" spans="1:14" x14ac:dyDescent="0.25">
      <c r="A61" s="22">
        <f t="shared" si="4"/>
        <v>79</v>
      </c>
      <c r="B61" s="27">
        <f>IF(A61&gt;200,"",IF($C$1='Adj-Mixed'!$A$21,VLOOKUP(A61,'800'!$A$6:$AB$188,4,FALSE),IF($C$1='Adj-Mixed'!$A$20,VLOOKUP(A61,'800'!$A$6:$AB$188,13,FALSE),IF($C$1='Adj-Mixed'!$A$19,VLOOKUP(A61,'800'!$A$6:$AB$188,22,FALSE)))))</f>
        <v>37.251006964195689</v>
      </c>
      <c r="C61" s="25">
        <f t="shared" si="5"/>
        <v>841.6571498896559</v>
      </c>
      <c r="D61" s="26">
        <f t="shared" si="6"/>
        <v>0.5062644628783457</v>
      </c>
      <c r="E61" s="26">
        <f>IF(A61&gt;200,"",IF($C$1='Adj-Mixed'!$A$21,VLOOKUP(A61,'800'!$A$7:$AB$188,10,FALSE),IF($C$1='Adj-Mixed'!$A$20,VLOOKUP(A61,'800'!$A$7:$AB$188,19,FALSE),IF($C$1='Adj-Mixed'!$A$19,VLOOKUP(A61,'800'!$A$7:$AB$188,28,FALSE)))))</f>
        <v>1.9752522116890081</v>
      </c>
      <c r="F61" s="26">
        <f>IF(A61&gt;200,"",IF($C$1='Adj-Mixed'!$A$21,VLOOKUP(A61,'800'!$A$7:$AB$188,7,FALSE),IF($C$1='Adj-Mixed'!$A$20,VLOOKUP(A61,'800'!$A$7:$AB$188,16,FALSE),IF($C$1='Adj-Mixed'!$A$19,VLOOKUP(A61,'800'!$A$7:$AB$188,25,FALSE)))))</f>
        <v>1.6624851468034096</v>
      </c>
      <c r="G61" s="26">
        <f t="shared" si="8"/>
        <v>48.587816673078052</v>
      </c>
      <c r="H61" s="1"/>
      <c r="I61" s="127">
        <f t="shared" si="9"/>
        <v>60.906505211758741</v>
      </c>
      <c r="J61" s="25">
        <f>IF(A61&gt;200,"",(C61*'Adj-Mixed'!$C$6))</f>
        <v>1322.8202147352747</v>
      </c>
      <c r="K61" s="26">
        <f>IF(A61&gt;200,"",D61*'Adj-Mixed'!$C$7)</f>
        <v>0.31737825764700206</v>
      </c>
      <c r="L61" s="1">
        <f t="shared" si="10"/>
        <v>3.1508144490232568</v>
      </c>
      <c r="M61" s="26">
        <f t="shared" si="11"/>
        <v>4.1679610460479513</v>
      </c>
      <c r="N61" s="115">
        <f t="shared" si="12"/>
        <v>121.81289414542704</v>
      </c>
    </row>
    <row r="62" spans="1:14" x14ac:dyDescent="0.25">
      <c r="A62" s="22">
        <f t="shared" si="4"/>
        <v>80</v>
      </c>
      <c r="B62" s="27">
        <f>IF(A62&gt;200,"",IF($C$1='Adj-Mixed'!$A$21,VLOOKUP(A62,'800'!$A$6:$AB$188,4,FALSE),IF($C$1='Adj-Mixed'!$A$20,VLOOKUP(A62,'800'!$A$6:$AB$188,13,FALSE),IF($C$1='Adj-Mixed'!$A$19,VLOOKUP(A62,'800'!$A$6:$AB$188,22,FALSE)))))</f>
        <v>38.099177561402271</v>
      </c>
      <c r="C62" s="25">
        <f t="shared" si="5"/>
        <v>848.17059720658244</v>
      </c>
      <c r="D62" s="26">
        <f t="shared" si="6"/>
        <v>0.50081314880881034</v>
      </c>
      <c r="E62" s="26">
        <f>IF(A62&gt;200,"",IF($C$1='Adj-Mixed'!$A$21,VLOOKUP(A62,'800'!$A$7:$AB$188,10,FALSE),IF($C$1='Adj-Mixed'!$A$20,VLOOKUP(A62,'800'!$A$7:$AB$188,19,FALSE),IF($C$1='Adj-Mixed'!$A$19,VLOOKUP(A62,'800'!$A$7:$AB$188,28,FALSE)))))</f>
        <v>1.9967526858640019</v>
      </c>
      <c r="F62" s="26">
        <f>IF(A62&gt;200,"",IF($C$1='Adj-Mixed'!$A$21,VLOOKUP(A62,'800'!$A$7:$AB$188,7,FALSE),IF($C$1='Adj-Mixed'!$A$20,VLOOKUP(A62,'800'!$A$7:$AB$188,16,FALSE),IF($C$1='Adj-Mixed'!$A$19,VLOOKUP(A62,'800'!$A$7:$AB$188,25,FALSE)))))</f>
        <v>1.6935869180431182</v>
      </c>
      <c r="G62" s="26">
        <f t="shared" si="8"/>
        <v>50.281403591121169</v>
      </c>
      <c r="H62" s="1"/>
      <c r="I62" s="127">
        <f t="shared" si="9"/>
        <v>62.239562516239616</v>
      </c>
      <c r="J62" s="25">
        <f>IF(A62&gt;200,"",(C62*'Adj-Mixed'!$C$6))</f>
        <v>1333.0573044808716</v>
      </c>
      <c r="K62" s="26">
        <f>IF(A62&gt;200,"",D62*'Adj-Mixed'!$C$7)</f>
        <v>0.31396081737983589</v>
      </c>
      <c r="L62" s="1">
        <f t="shared" si="10"/>
        <v>3.1851108311715874</v>
      </c>
      <c r="M62" s="26">
        <f t="shared" si="11"/>
        <v>4.2459352590744244</v>
      </c>
      <c r="N62" s="115">
        <f t="shared" si="12"/>
        <v>126.05882940450147</v>
      </c>
    </row>
    <row r="63" spans="1:14" x14ac:dyDescent="0.25">
      <c r="A63" s="22">
        <f t="shared" si="4"/>
        <v>81</v>
      </c>
      <c r="B63" s="27">
        <f>IF(A63&gt;200,"",IF($C$1='Adj-Mixed'!$A$21,VLOOKUP(A63,'800'!$A$6:$AB$188,4,FALSE),IF($C$1='Adj-Mixed'!$A$20,VLOOKUP(A63,'800'!$A$6:$AB$188,13,FALSE),IF($C$1='Adj-Mixed'!$A$19,VLOOKUP(A63,'800'!$A$6:$AB$188,22,FALSE)))))</f>
        <v>38.953694948548133</v>
      </c>
      <c r="C63" s="25">
        <f t="shared" si="5"/>
        <v>854.51738714586156</v>
      </c>
      <c r="D63" s="26">
        <f t="shared" si="6"/>
        <v>0.49551047591434078</v>
      </c>
      <c r="E63" s="26">
        <f>IF(A63&gt;200,"",IF($C$1='Adj-Mixed'!$A$21,VLOOKUP(A63,'800'!$A$7:$AB$188,10,FALSE),IF($C$1='Adj-Mixed'!$A$20,VLOOKUP(A63,'800'!$A$7:$AB$188,19,FALSE),IF($C$1='Adj-Mixed'!$A$19,VLOOKUP(A63,'800'!$A$7:$AB$188,28,FALSE)))))</f>
        <v>2.0181208039138827</v>
      </c>
      <c r="F63" s="26">
        <f>IF(A63&gt;200,"",IF($C$1='Adj-Mixed'!$A$21,VLOOKUP(A63,'800'!$A$7:$AB$188,7,FALSE),IF($C$1='Adj-Mixed'!$A$20,VLOOKUP(A63,'800'!$A$7:$AB$188,16,FALSE),IF($C$1='Adj-Mixed'!$A$19,VLOOKUP(A63,'800'!$A$7:$AB$188,25,FALSE)))))</f>
        <v>1.7245193163052037</v>
      </c>
      <c r="G63" s="26">
        <f t="shared" si="8"/>
        <v>52.005922907426374</v>
      </c>
      <c r="H63" s="1"/>
      <c r="I63" s="127">
        <f t="shared" si="9"/>
        <v>63.582594977506666</v>
      </c>
      <c r="J63" s="25">
        <f>IF(A63&gt;200,"",(C63*'Adj-Mixed'!$C$6))</f>
        <v>1343.0324612670495</v>
      </c>
      <c r="K63" s="26">
        <f>IF(A63&gt;200,"",D63*'Adj-Mixed'!$C$7)</f>
        <v>0.3106365605782615</v>
      </c>
      <c r="L63" s="1">
        <f t="shared" si="10"/>
        <v>3.2191960860578126</v>
      </c>
      <c r="M63" s="26">
        <f t="shared" si="11"/>
        <v>4.3234848427594761</v>
      </c>
      <c r="N63" s="115">
        <f t="shared" si="12"/>
        <v>130.38231424726095</v>
      </c>
    </row>
    <row r="64" spans="1:14" x14ac:dyDescent="0.25">
      <c r="A64" s="22">
        <f t="shared" si="4"/>
        <v>82</v>
      </c>
      <c r="B64" s="27">
        <f>IF(A64&gt;200,"",IF($C$1='Adj-Mixed'!$A$21,VLOOKUP(A64,'800'!$A$6:$AB$188,4,FALSE),IF($C$1='Adj-Mixed'!$A$20,VLOOKUP(A64,'800'!$A$6:$AB$188,13,FALSE),IF($C$1='Adj-Mixed'!$A$19,VLOOKUP(A64,'800'!$A$6:$AB$188,22,FALSE)))))</f>
        <v>39.81439236047413</v>
      </c>
      <c r="C64" s="25">
        <f t="shared" si="5"/>
        <v>860.69741192599736</v>
      </c>
      <c r="D64" s="26">
        <f t="shared" si="6"/>
        <v>0.49035097251312765</v>
      </c>
      <c r="E64" s="26">
        <f>IF(A64&gt;200,"",IF($C$1='Adj-Mixed'!$A$21,VLOOKUP(A64,'800'!$A$7:$AB$188,10,FALSE),IF($C$1='Adj-Mixed'!$A$20,VLOOKUP(A64,'800'!$A$7:$AB$188,19,FALSE),IF($C$1='Adj-Mixed'!$A$19,VLOOKUP(A64,'800'!$A$7:$AB$188,28,FALSE)))))</f>
        <v>2.0393555964105445</v>
      </c>
      <c r="F64" s="26">
        <f>IF(A64&gt;200,"",IF($C$1='Adj-Mixed'!$A$21,VLOOKUP(A64,'800'!$A$7:$AB$188,7,FALSE),IF($C$1='Adj-Mixed'!$A$20,VLOOKUP(A64,'800'!$A$7:$AB$188,16,FALSE),IF($C$1='Adj-Mixed'!$A$19,VLOOKUP(A64,'800'!$A$7:$AB$188,25,FALSE)))))</f>
        <v>1.7552680838273544</v>
      </c>
      <c r="G64" s="26">
        <f t="shared" si="8"/>
        <v>53.761190991253727</v>
      </c>
      <c r="H64" s="1"/>
      <c r="I64" s="127">
        <f t="shared" si="9"/>
        <v>64.935340493201878</v>
      </c>
      <c r="J64" s="25">
        <f>IF(A64&gt;200,"",(C64*'Adj-Mixed'!$C$6))</f>
        <v>1352.7455156952099</v>
      </c>
      <c r="K64" s="26">
        <f>IF(A64&gt;200,"",D64*'Adj-Mixed'!$C$7)</f>
        <v>0.30740205703343282</v>
      </c>
      <c r="L64" s="1">
        <f t="shared" si="10"/>
        <v>3.2530686673031624</v>
      </c>
      <c r="M64" s="26">
        <f t="shared" si="11"/>
        <v>4.4005740519429457</v>
      </c>
      <c r="N64" s="115">
        <f t="shared" si="12"/>
        <v>134.7828882992039</v>
      </c>
    </row>
    <row r="65" spans="1:14" x14ac:dyDescent="0.25">
      <c r="A65" s="22">
        <f t="shared" si="4"/>
        <v>83</v>
      </c>
      <c r="B65" s="27">
        <f>IF(A65&gt;200,"",IF($C$1='Adj-Mixed'!$A$21,VLOOKUP(A65,'800'!$A$6:$AB$188,4,FALSE),IF($C$1='Adj-Mixed'!$A$20,VLOOKUP(A65,'800'!$A$6:$AB$188,13,FALSE),IF($C$1='Adj-Mixed'!$A$19,VLOOKUP(A65,'800'!$A$6:$AB$188,22,FALSE)))))</f>
        <v>40.681103010136688</v>
      </c>
      <c r="C65" s="25">
        <f t="shared" si="5"/>
        <v>866.7106496625579</v>
      </c>
      <c r="D65" s="26">
        <f t="shared" si="6"/>
        <v>0.48532936876839666</v>
      </c>
      <c r="E65" s="26">
        <f>IF(A65&gt;200,"",IF($C$1='Adj-Mixed'!$A$21,VLOOKUP(A65,'800'!$A$7:$AB$188,10,FALSE),IF($C$1='Adj-Mixed'!$A$20,VLOOKUP(A65,'800'!$A$7:$AB$188,19,FALSE),IF($C$1='Adj-Mixed'!$A$19,VLOOKUP(A65,'800'!$A$7:$AB$188,28,FALSE)))))</f>
        <v>2.0604563917853662</v>
      </c>
      <c r="F65" s="26">
        <f>IF(A65&gt;200,"",IF($C$1='Adj-Mixed'!$A$21,VLOOKUP(A65,'800'!$A$7:$AB$188,7,FALSE),IF($C$1='Adj-Mixed'!$A$20,VLOOKUP(A65,'800'!$A$7:$AB$188,16,FALSE),IF($C$1='Adj-Mixed'!$A$19,VLOOKUP(A65,'800'!$A$7:$AB$188,25,FALSE)))))</f>
        <v>1.7858194979256572</v>
      </c>
      <c r="G65" s="26">
        <f t="shared" si="8"/>
        <v>55.547010489179385</v>
      </c>
      <c r="H65" s="1"/>
      <c r="I65" s="127">
        <f t="shared" si="9"/>
        <v>66.297536926571794</v>
      </c>
      <c r="J65" s="25">
        <f>IF(A65&gt;200,"",(C65*'Adj-Mixed'!$C$6))</f>
        <v>1362.1964333699116</v>
      </c>
      <c r="K65" s="26">
        <f>IF(A65&gt;200,"",D65*'Adj-Mixed'!$C$7)</f>
        <v>0.30425400307358108</v>
      </c>
      <c r="L65" s="1">
        <f t="shared" si="10"/>
        <v>3.2867275036580508</v>
      </c>
      <c r="M65" s="26">
        <f t="shared" si="11"/>
        <v>4.4771684829417895</v>
      </c>
      <c r="N65" s="115">
        <f t="shared" si="12"/>
        <v>139.26005678214568</v>
      </c>
    </row>
    <row r="66" spans="1:14" x14ac:dyDescent="0.25">
      <c r="A66" s="22">
        <f t="shared" si="4"/>
        <v>84</v>
      </c>
      <c r="B66" s="27">
        <f>IF(A66&gt;200,"",IF($C$1='Adj-Mixed'!$A$21,VLOOKUP(A66,'800'!$A$6:$AB$188,4,FALSE),IF($C$1='Adj-Mixed'!$A$20,VLOOKUP(A66,'800'!$A$6:$AB$188,13,FALSE),IF($C$1='Adj-Mixed'!$A$19,VLOOKUP(A66,'800'!$A$6:$AB$188,22,FALSE)))))</f>
        <v>41.553660172880157</v>
      </c>
      <c r="C66" s="25">
        <f t="shared" si="5"/>
        <v>872.55716274346901</v>
      </c>
      <c r="D66" s="26">
        <f t="shared" si="6"/>
        <v>0.480440588822792</v>
      </c>
      <c r="E66" s="26">
        <f>IF(A66&gt;200,"",IF($C$1='Adj-Mixed'!$A$21,VLOOKUP(A66,'800'!$A$7:$AB$188,10,FALSE),IF($C$1='Adj-Mixed'!$A$20,VLOOKUP(A66,'800'!$A$7:$AB$188,19,FALSE),IF($C$1='Adj-Mixed'!$A$19,VLOOKUP(A66,'800'!$A$7:$AB$188,28,FALSE)))))</f>
        <v>2.0814228091141667</v>
      </c>
      <c r="F66" s="26">
        <f>IF(A66&gt;200,"",IF($C$1='Adj-Mixed'!$A$21,VLOOKUP(A66,'800'!$A$7:$AB$188,7,FALSE),IF($C$1='Adj-Mixed'!$A$20,VLOOKUP(A66,'800'!$A$7:$AB$188,16,FALSE),IF($C$1='Adj-Mixed'!$A$19,VLOOKUP(A66,'800'!$A$7:$AB$188,25,FALSE)))))</f>
        <v>1.8162215881142383</v>
      </c>
      <c r="G66" s="26">
        <f t="shared" si="8"/>
        <v>57.363232077293624</v>
      </c>
      <c r="H66" s="1"/>
      <c r="I66" s="127">
        <f t="shared" si="9"/>
        <v>67.668922238917133</v>
      </c>
      <c r="J66" s="25">
        <f>IF(A66&gt;200,"",(C66*'Adj-Mixed'!$C$6))</f>
        <v>1371.3853123453441</v>
      </c>
      <c r="K66" s="26">
        <f>IF(A66&gt;200,"",D66*'Adj-Mixed'!$C$7)</f>
        <v>0.30118921663304349</v>
      </c>
      <c r="L66" s="1">
        <f t="shared" si="10"/>
        <v>3.3201719874930276</v>
      </c>
      <c r="M66" s="26">
        <f t="shared" si="11"/>
        <v>4.5532350981083871</v>
      </c>
      <c r="N66" s="115">
        <f t="shared" si="12"/>
        <v>143.81329188025407</v>
      </c>
    </row>
    <row r="67" spans="1:14" x14ac:dyDescent="0.25">
      <c r="A67" s="22">
        <f t="shared" si="4"/>
        <v>85</v>
      </c>
      <c r="B67" s="27">
        <f>IF(A67&gt;200,"",IF($C$1='Adj-Mixed'!$A$21,VLOOKUP(A67,'800'!$A$6:$AB$188,4,FALSE),IF($C$1='Adj-Mixed'!$A$20,VLOOKUP(A67,'800'!$A$6:$AB$188,13,FALSE),IF($C$1='Adj-Mixed'!$A$19,VLOOKUP(A67,'800'!$A$6:$AB$188,22,FALSE)))))</f>
        <v>42.431897269040938</v>
      </c>
      <c r="C67" s="25">
        <f t="shared" si="5"/>
        <v>878.23709616078099</v>
      </c>
      <c r="D67" s="26">
        <f t="shared" si="6"/>
        <v>0.47567974322868878</v>
      </c>
      <c r="E67" s="26">
        <f>IF(A67&gt;200,"",IF($C$1='Adj-Mixed'!$A$21,VLOOKUP(A67,'800'!$A$7:$AB$188,10,FALSE),IF($C$1='Adj-Mixed'!$A$20,VLOOKUP(A67,'800'!$A$7:$AB$188,19,FALSE),IF($C$1='Adj-Mixed'!$A$19,VLOOKUP(A67,'800'!$A$7:$AB$188,28,FALSE)))))</f>
        <v>2.1022547506700069</v>
      </c>
      <c r="F67" s="26">
        <f>IF(A67&gt;200,"",IF($C$1='Adj-Mixed'!$A$21,VLOOKUP(A67,'800'!$A$7:$AB$188,7,FALSE),IF($C$1='Adj-Mixed'!$A$20,VLOOKUP(A67,'800'!$A$7:$AB$188,16,FALSE),IF($C$1='Adj-Mixed'!$A$19,VLOOKUP(A67,'800'!$A$7:$AB$188,25,FALSE)))))</f>
        <v>1.8464749257246629</v>
      </c>
      <c r="G67" s="26">
        <f t="shared" si="8"/>
        <v>59.209707003018288</v>
      </c>
      <c r="H67" s="1"/>
      <c r="I67" s="127">
        <f t="shared" si="9"/>
        <v>69.049234619420517</v>
      </c>
      <c r="J67" s="25">
        <f>IF(A67&gt;200,"",(C67*'Adj-Mixed'!$C$6))</f>
        <v>1380.3123805033888</v>
      </c>
      <c r="K67" s="26">
        <f>IF(A67&gt;200,"",D67*'Adj-Mixed'!$C$7)</f>
        <v>0.2982046325068099</v>
      </c>
      <c r="L67" s="1">
        <f t="shared" si="10"/>
        <v>3.3534019629194178</v>
      </c>
      <c r="M67" s="26">
        <f t="shared" si="11"/>
        <v>4.6287422462220382</v>
      </c>
      <c r="N67" s="115">
        <f t="shared" si="12"/>
        <v>148.4420341264761</v>
      </c>
    </row>
    <row r="68" spans="1:14" x14ac:dyDescent="0.25">
      <c r="A68" s="22">
        <f t="shared" si="4"/>
        <v>86</v>
      </c>
      <c r="B68" s="27">
        <f>IF(A68&gt;200,"",IF($C$1='Adj-Mixed'!$A$21,VLOOKUP(A68,'800'!$A$6:$AB$188,4,FALSE),IF($C$1='Adj-Mixed'!$A$20,VLOOKUP(A68,'800'!$A$6:$AB$188,13,FALSE),IF($C$1='Adj-Mixed'!$A$19,VLOOKUP(A68,'800'!$A$6:$AB$188,22,FALSE)))))</f>
        <v>43.315647944842873</v>
      </c>
      <c r="C68" s="25">
        <f t="shared" si="5"/>
        <v>883.75067580193445</v>
      </c>
      <c r="D68" s="26">
        <f t="shared" si="6"/>
        <v>0.47104212167322368</v>
      </c>
      <c r="E68" s="26">
        <f>IF(A68&gt;200,"",IF($C$1='Adj-Mixed'!$A$21,VLOOKUP(A68,'800'!$A$7:$AB$188,10,FALSE),IF($C$1='Adj-Mixed'!$A$20,VLOOKUP(A68,'800'!$A$7:$AB$188,19,FALSE),IF($C$1='Adj-Mixed'!$A$19,VLOOKUP(A68,'800'!$A$7:$AB$188,28,FALSE)))))</f>
        <v>2.1229523942526112</v>
      </c>
      <c r="F68" s="26">
        <f>IF(A68&gt;200,"",IF($C$1='Adj-Mixed'!$A$21,VLOOKUP(A68,'800'!$A$7:$AB$188,7,FALSE),IF($C$1='Adj-Mixed'!$A$20,VLOOKUP(A68,'800'!$A$7:$AB$188,16,FALSE),IF($C$1='Adj-Mixed'!$A$19,VLOOKUP(A68,'800'!$A$7:$AB$188,25,FALSE)))))</f>
        <v>1.8764940559312528</v>
      </c>
      <c r="G68" s="26">
        <f t="shared" si="8"/>
        <v>61.086201058949541</v>
      </c>
      <c r="H68" s="1"/>
      <c r="I68" s="127">
        <f t="shared" ref="I68:I99" si="13">IF(A68&gt;200,"",I67+(J68/1000))</f>
        <v>70.438212612288538</v>
      </c>
      <c r="J68" s="25">
        <f>IF(A68&gt;200,"",(C68*'Adj-Mixed'!$C$6))</f>
        <v>1388.977992868028</v>
      </c>
      <c r="K68" s="26">
        <f>IF(A68&gt;200,"",D68*'Adj-Mixed'!$C$7)</f>
        <v>0.29529729778982938</v>
      </c>
      <c r="L68" s="1">
        <f t="shared" ref="L68:L99" si="14">IF(A68&gt;200,"",1/K68)</f>
        <v>3.386417713553632</v>
      </c>
      <c r="M68" s="26">
        <f t="shared" ref="M68:M99" si="15">IF(A68&gt;200,"",(J68/1000)/K68)</f>
        <v>4.7036596787844598</v>
      </c>
      <c r="N68" s="115">
        <f t="shared" si="12"/>
        <v>153.14569380526055</v>
      </c>
    </row>
    <row r="69" spans="1:14" x14ac:dyDescent="0.25">
      <c r="A69" s="22">
        <f t="shared" ref="A69:A132" si="16">A68+1</f>
        <v>87</v>
      </c>
      <c r="B69" s="27">
        <f>IF(A69&gt;200,"",IF($C$1='Adj-Mixed'!$A$21,VLOOKUP(A69,'800'!$A$6:$AB$188,4,FALSE),IF($C$1='Adj-Mixed'!$A$20,VLOOKUP(A69,'800'!$A$6:$AB$188,13,FALSE),IF($C$1='Adj-Mixed'!$A$19,VLOOKUP(A69,'800'!$A$6:$AB$188,22,FALSE)))))</f>
        <v>44.204746151545407</v>
      </c>
      <c r="C69" s="25">
        <f t="shared" ref="C69:C132" si="17">IF(A69&gt;200,"",(B69-B68)*1000)</f>
        <v>889.09820670253475</v>
      </c>
      <c r="D69" s="26">
        <f t="shared" ref="D69:D132" si="18">IF(A69&gt;200,"",1/E69)</f>
        <v>0.46652318599410192</v>
      </c>
      <c r="E69" s="26">
        <f>IF(A69&gt;200,"",IF($C$1='Adj-Mixed'!$A$21,VLOOKUP(A69,'800'!$A$7:$AB$188,10,FALSE),IF($C$1='Adj-Mixed'!$A$20,VLOOKUP(A69,'800'!$A$7:$AB$188,19,FALSE),IF($C$1='Adj-Mixed'!$A$19,VLOOKUP(A69,'800'!$A$7:$AB$188,28,FALSE)))))</f>
        <v>2.1435161853084033</v>
      </c>
      <c r="F69" s="26">
        <f>IF(A69&gt;200,"",IF($C$1='Adj-Mixed'!$A$21,VLOOKUP(A69,'800'!$A$7:$AB$188,7,FALSE),IF($C$1='Adj-Mixed'!$A$20,VLOOKUP(A69,'800'!$A$7:$AB$188,16,FALSE),IF($C$1='Adj-Mixed'!$A$19,VLOOKUP(A69,'800'!$A$7:$AB$188,25,FALSE)))))</f>
        <v>1.9062670806689104</v>
      </c>
      <c r="G69" s="26">
        <f t="shared" si="8"/>
        <v>62.992468139618452</v>
      </c>
      <c r="H69" s="1"/>
      <c r="I69" s="127">
        <f t="shared" si="13"/>
        <v>71.835595241147786</v>
      </c>
      <c r="J69" s="25">
        <f>IF(A69&gt;200,"",(C69*'Adj-Mixed'!$C$6))</f>
        <v>1397.3826288592543</v>
      </c>
      <c r="K69" s="26">
        <f>IF(A69&gt;200,"",D69*'Adj-Mixed'!$C$7)</f>
        <v>0.29246436749860494</v>
      </c>
      <c r="L69" s="1">
        <f t="shared" si="14"/>
        <v>3.4192199499474754</v>
      </c>
      <c r="M69" s="26">
        <f t="shared" si="15"/>
        <v>4.7779585623056109</v>
      </c>
      <c r="N69" s="115">
        <f t="shared" ref="N69:N100" si="19">IF(A69&gt;200,"",N68+M69)</f>
        <v>157.92365236756615</v>
      </c>
    </row>
    <row r="70" spans="1:14" x14ac:dyDescent="0.25">
      <c r="A70" s="22">
        <f t="shared" si="16"/>
        <v>88</v>
      </c>
      <c r="B70" s="27">
        <f>IF(A70&gt;200,"",IF($C$1='Adj-Mixed'!$A$21,VLOOKUP(A70,'800'!$A$6:$AB$188,4,FALSE),IF($C$1='Adj-Mixed'!$A$20,VLOOKUP(A70,'800'!$A$6:$AB$188,13,FALSE),IF($C$1='Adj-Mixed'!$A$19,VLOOKUP(A70,'800'!$A$6:$AB$188,22,FALSE)))))</f>
        <v>45.099026222809442</v>
      </c>
      <c r="C70" s="25">
        <f t="shared" si="17"/>
        <v>894.28007126403486</v>
      </c>
      <c r="D70" s="26">
        <f t="shared" si="18"/>
        <v>0.46211856348140895</v>
      </c>
      <c r="E70" s="26">
        <f>IF(A70&gt;200,"",IF($C$1='Adj-Mixed'!$A$21,VLOOKUP(A70,'800'!$A$7:$AB$188,10,FALSE),IF($C$1='Adj-Mixed'!$A$20,VLOOKUP(A70,'800'!$A$7:$AB$188,19,FALSE),IF($C$1='Adj-Mixed'!$A$19,VLOOKUP(A70,'800'!$A$7:$AB$188,28,FALSE)))))</f>
        <v>2.1639468288536521</v>
      </c>
      <c r="F70" s="26">
        <f>IF(A70&gt;200,"",IF($C$1='Adj-Mixed'!$A$21,VLOOKUP(A70,'800'!$A$7:$AB$188,7,FALSE),IF($C$1='Adj-Mixed'!$A$20,VLOOKUP(A70,'800'!$A$7:$AB$188,16,FALSE),IF($C$1='Adj-Mixed'!$A$19,VLOOKUP(A70,'800'!$A$7:$AB$188,25,FALSE)))))</f>
        <v>1.9357826802146456</v>
      </c>
      <c r="G70" s="26">
        <f t="shared" ref="G70:G133" si="20">IF(A70&gt;200,"",F70+G69)</f>
        <v>64.928250819833096</v>
      </c>
      <c r="H70" s="1"/>
      <c r="I70" s="127">
        <f t="shared" si="13"/>
        <v>73.24112213063961</v>
      </c>
      <c r="J70" s="25">
        <f>IF(A70&gt;200,"",(C70*'Adj-Mixed'!$C$6))</f>
        <v>1405.5268894918306</v>
      </c>
      <c r="K70" s="26">
        <f>IF(A70&gt;200,"",D70*'Adj-Mixed'!$C$7)</f>
        <v>0.28970310037208502</v>
      </c>
      <c r="L70" s="1">
        <f t="shared" si="14"/>
        <v>3.4518097967043957</v>
      </c>
      <c r="M70" s="26">
        <f t="shared" si="15"/>
        <v>4.8516114866793583</v>
      </c>
      <c r="N70" s="115">
        <f t="shared" si="19"/>
        <v>162.77526385424551</v>
      </c>
    </row>
    <row r="71" spans="1:14" x14ac:dyDescent="0.25">
      <c r="A71" s="22">
        <f t="shared" si="16"/>
        <v>89</v>
      </c>
      <c r="B71" s="27">
        <f>IF(A71&gt;200,"",IF($C$1='Adj-Mixed'!$A$21,VLOOKUP(A71,'800'!$A$6:$AB$188,4,FALSE),IF($C$1='Adj-Mixed'!$A$20,VLOOKUP(A71,'800'!$A$6:$AB$188,13,FALSE),IF($C$1='Adj-Mixed'!$A$19,VLOOKUP(A71,'800'!$A$6:$AB$188,22,FALSE)))))</f>
        <v>45.998322950248252</v>
      </c>
      <c r="C71" s="25">
        <f t="shared" si="17"/>
        <v>899.29672743880928</v>
      </c>
      <c r="D71" s="26">
        <f t="shared" si="18"/>
        <v>0.45782404045879749</v>
      </c>
      <c r="E71" s="26">
        <f>IF(A71&gt;200,"",IF($C$1='Adj-Mixed'!$A$21,VLOOKUP(A71,'800'!$A$7:$AB$188,10,FALSE),IF($C$1='Adj-Mixed'!$A$20,VLOOKUP(A71,'800'!$A$7:$AB$188,19,FALSE),IF($C$1='Adj-Mixed'!$A$19,VLOOKUP(A71,'800'!$A$7:$AB$188,28,FALSE)))))</f>
        <v>2.1842452812173727</v>
      </c>
      <c r="F71" s="26">
        <f>IF(A71&gt;200,"",IF($C$1='Adj-Mixed'!$A$21,VLOOKUP(A71,'800'!$A$7:$AB$188,7,FALSE),IF($C$1='Adj-Mixed'!$A$20,VLOOKUP(A71,'800'!$A$7:$AB$188,16,FALSE),IF($C$1='Adj-Mixed'!$A$19,VLOOKUP(A71,'800'!$A$7:$AB$188,25,FALSE)))))</f>
        <v>1.9650301161862374</v>
      </c>
      <c r="G71" s="26">
        <f t="shared" si="20"/>
        <v>66.893280936019337</v>
      </c>
      <c r="H71" s="1"/>
      <c r="I71" s="127">
        <f t="shared" si="13"/>
        <v>74.654533625162401</v>
      </c>
      <c r="J71" s="25">
        <f>IF(A71&gt;200,"",(C71*'Adj-Mixed'!$C$6))</f>
        <v>1413.4114945227961</v>
      </c>
      <c r="K71" s="26">
        <f>IF(A71&gt;200,"",D71*'Adj-Mixed'!$C$7)</f>
        <v>0.28701085484769612</v>
      </c>
      <c r="L71" s="1">
        <f t="shared" si="14"/>
        <v>3.4841887793082096</v>
      </c>
      <c r="M71" s="26">
        <f t="shared" si="15"/>
        <v>4.9245924697615733</v>
      </c>
      <c r="N71" s="115">
        <f t="shared" si="19"/>
        <v>167.69985632400707</v>
      </c>
    </row>
    <row r="72" spans="1:14" x14ac:dyDescent="0.25">
      <c r="A72" s="22">
        <f t="shared" si="16"/>
        <v>90</v>
      </c>
      <c r="B72" s="27">
        <f>IF(A72&gt;200,"",IF($C$1='Adj-Mixed'!$A$21,VLOOKUP(A72,'800'!$A$6:$AB$188,4,FALSE),IF($C$1='Adj-Mixed'!$A$20,VLOOKUP(A72,'800'!$A$6:$AB$188,13,FALSE),IF($C$1='Adj-Mixed'!$A$19,VLOOKUP(A72,'800'!$A$6:$AB$188,22,FALSE)))))</f>
        <v>46.902471657133574</v>
      </c>
      <c r="C72" s="25">
        <f t="shared" si="17"/>
        <v>904.14870688532289</v>
      </c>
      <c r="D72" s="26">
        <f t="shared" si="18"/>
        <v>0.45363555613653672</v>
      </c>
      <c r="E72" s="26">
        <f>IF(A72&gt;200,"",IF($C$1='Adj-Mixed'!$A$21,VLOOKUP(A72,'800'!$A$7:$AB$188,10,FALSE),IF($C$1='Adj-Mixed'!$A$20,VLOOKUP(A72,'800'!$A$7:$AB$188,19,FALSE),IF($C$1='Adj-Mixed'!$A$19,VLOOKUP(A72,'800'!$A$7:$AB$188,28,FALSE)))))</f>
        <v>2.2044127416216392</v>
      </c>
      <c r="F72" s="26">
        <f>IF(A72&gt;200,"",IF($C$1='Adj-Mixed'!$A$21,VLOOKUP(A72,'800'!$A$7:$AB$188,7,FALSE),IF($C$1='Adj-Mixed'!$A$20,VLOOKUP(A72,'800'!$A$7:$AB$188,16,FALSE),IF($C$1='Adj-Mixed'!$A$19,VLOOKUP(A72,'800'!$A$7:$AB$188,25,FALSE)))))</f>
        <v>1.9939992329629166</v>
      </c>
      <c r="G72" s="26">
        <f t="shared" si="20"/>
        <v>68.887280168982258</v>
      </c>
      <c r="H72" s="1"/>
      <c r="I72" s="127">
        <f t="shared" si="13"/>
        <v>76.075570904714368</v>
      </c>
      <c r="J72" s="25">
        <f>IF(A72&gt;200,"",(C72*'Adj-Mixed'!$C$6))</f>
        <v>1421.0372795519731</v>
      </c>
      <c r="K72" s="26">
        <f>IF(A72&gt;200,"",D72*'Adj-Mixed'!$C$7)</f>
        <v>0.2843850852078067</v>
      </c>
      <c r="L72" s="1">
        <f t="shared" si="14"/>
        <v>3.5163588106924704</v>
      </c>
      <c r="M72" s="26">
        <f t="shared" si="15"/>
        <v>4.9968769582750401</v>
      </c>
      <c r="N72" s="115">
        <f t="shared" si="19"/>
        <v>172.69673328228211</v>
      </c>
    </row>
    <row r="73" spans="1:14" x14ac:dyDescent="0.25">
      <c r="A73" s="22">
        <f t="shared" si="16"/>
        <v>91</v>
      </c>
      <c r="B73" s="27">
        <f>IF(A73&gt;200,"",IF($C$1='Adj-Mixed'!$A$21,VLOOKUP(A73,'800'!$A$6:$AB$188,4,FALSE),IF($C$1='Adj-Mixed'!$A$20,VLOOKUP(A73,'800'!$A$6:$AB$188,13,FALSE),IF($C$1='Adj-Mixed'!$A$19,VLOOKUP(A73,'800'!$A$6:$AB$188,22,FALSE)))))</f>
        <v>47.811308270230043</v>
      </c>
      <c r="C73" s="25">
        <f t="shared" si="17"/>
        <v>908.83661309646868</v>
      </c>
      <c r="D73" s="26">
        <f t="shared" si="18"/>
        <v>0.44954919672836169</v>
      </c>
      <c r="E73" s="26">
        <f>IF(A73&gt;200,"",IF($C$1='Adj-Mixed'!$A$21,VLOOKUP(A73,'800'!$A$7:$AB$188,10,FALSE),IF($C$1='Adj-Mixed'!$A$20,VLOOKUP(A73,'800'!$A$7:$AB$188,19,FALSE),IF($C$1='Adj-Mixed'!$A$19,VLOOKUP(A73,'800'!$A$7:$AB$188,28,FALSE)))))</f>
        <v>2.2244506436172014</v>
      </c>
      <c r="F73" s="26">
        <f>IF(A73&gt;200,"",IF($C$1='Adj-Mixed'!$A$21,VLOOKUP(A73,'800'!$A$7:$AB$188,7,FALSE),IF($C$1='Adj-Mixed'!$A$20,VLOOKUP(A73,'800'!$A$7:$AB$188,16,FALSE),IF($C$1='Adj-Mixed'!$A$19,VLOOKUP(A73,'800'!$A$7:$AB$188,25,FALSE)))))</f>
        <v>2.0226804575817909</v>
      </c>
      <c r="G73" s="26">
        <f t="shared" si="20"/>
        <v>70.909960626564043</v>
      </c>
      <c r="H73" s="1"/>
      <c r="I73" s="127">
        <f t="shared" si="13"/>
        <v>77.503976097794677</v>
      </c>
      <c r="J73" s="25">
        <f>IF(A73&gt;200,"",(C73*'Adj-Mixed'!$C$6))</f>
        <v>1428.4051930803018</v>
      </c>
      <c r="K73" s="26">
        <f>IF(A73&gt;200,"",D73*'Adj-Mixed'!$C$7)</f>
        <v>0.28182333789156716</v>
      </c>
      <c r="L73" s="1">
        <f t="shared" si="14"/>
        <v>3.5483221775790428</v>
      </c>
      <c r="M73" s="26">
        <f t="shared" si="15"/>
        <v>5.0684418251759098</v>
      </c>
      <c r="N73" s="115">
        <f t="shared" si="19"/>
        <v>177.76517510745802</v>
      </c>
    </row>
    <row r="74" spans="1:14" x14ac:dyDescent="0.25">
      <c r="A74" s="22">
        <f t="shared" si="16"/>
        <v>92</v>
      </c>
      <c r="B74" s="27">
        <f>IF(A74&gt;200,"",IF($C$1='Adj-Mixed'!$A$21,VLOOKUP(A74,'800'!$A$6:$AB$188,4,FALSE),IF($C$1='Adj-Mixed'!$A$20,VLOOKUP(A74,'800'!$A$6:$AB$188,13,FALSE),IF($C$1='Adj-Mixed'!$A$19,VLOOKUP(A74,'800'!$A$6:$AB$188,22,FALSE)))))</f>
        <v>48.724669389733641</v>
      </c>
      <c r="C74" s="25">
        <f t="shared" si="17"/>
        <v>913.36111950359827</v>
      </c>
      <c r="D74" s="26">
        <f t="shared" si="18"/>
        <v>0.44556118982321302</v>
      </c>
      <c r="E74" s="26">
        <f>IF(A74&gt;200,"",IF($C$1='Adj-Mixed'!$A$21,VLOOKUP(A74,'800'!$A$7:$AB$188,10,FALSE),IF($C$1='Adj-Mixed'!$A$20,VLOOKUP(A74,'800'!$A$7:$AB$188,19,FALSE),IF($C$1='Adj-Mixed'!$A$19,VLOOKUP(A74,'800'!$A$7:$AB$188,28,FALSE)))))</f>
        <v>2.2443606463946595</v>
      </c>
      <c r="F74" s="26">
        <f>IF(A74&gt;200,"",IF($C$1='Adj-Mixed'!$A$21,VLOOKUP(A74,'800'!$A$7:$AB$188,7,FALSE),IF($C$1='Adj-Mixed'!$A$20,VLOOKUP(A74,'800'!$A$7:$AB$188,16,FALSE),IF($C$1='Adj-Mixed'!$A$19,VLOOKUP(A74,'800'!$A$7:$AB$188,25,FALSE)))))</f>
        <v>2.0510647981681487</v>
      </c>
      <c r="G74" s="26">
        <f t="shared" si="20"/>
        <v>72.961025424732185</v>
      </c>
      <c r="H74" s="1"/>
      <c r="I74" s="127">
        <f t="shared" si="13"/>
        <v>78.939492391324649</v>
      </c>
      <c r="J74" s="25">
        <f>IF(A74&gt;200,"",(C74*'Adj-Mixed'!$C$6))</f>
        <v>1435.5162935299743</v>
      </c>
      <c r="K74" s="26">
        <f>IF(A74&gt;200,"",D74*'Adj-Mixed'!$C$7)</f>
        <v>0.27932324796654229</v>
      </c>
      <c r="L74" s="1">
        <f t="shared" si="14"/>
        <v>3.5800815266181543</v>
      </c>
      <c r="M74" s="26">
        <f t="shared" si="15"/>
        <v>5.1392653636260253</v>
      </c>
      <c r="N74" s="115">
        <f t="shared" si="19"/>
        <v>182.90444047108406</v>
      </c>
    </row>
    <row r="75" spans="1:14" x14ac:dyDescent="0.25">
      <c r="A75" s="22">
        <f t="shared" si="16"/>
        <v>93</v>
      </c>
      <c r="B75" s="27">
        <f>IF(A75&gt;200,"",IF($C$1='Adj-Mixed'!$A$21,VLOOKUP(A75,'800'!$A$6:$AB$188,4,FALSE),IF($C$1='Adj-Mixed'!$A$20,VLOOKUP(A75,'800'!$A$6:$AB$188,13,FALSE),IF($C$1='Adj-Mixed'!$A$19,VLOOKUP(A75,'800'!$A$6:$AB$188,22,FALSE)))))</f>
        <v>49.642392357292614</v>
      </c>
      <c r="C75" s="25">
        <f t="shared" si="17"/>
        <v>917.72296755897287</v>
      </c>
      <c r="D75" s="26">
        <f t="shared" si="18"/>
        <v>0.44166789900276132</v>
      </c>
      <c r="E75" s="26">
        <f>IF(A75&gt;200,"",IF($C$1='Adj-Mixed'!$A$21,VLOOKUP(A75,'800'!$A$7:$AB$188,10,FALSE),IF($C$1='Adj-Mixed'!$A$20,VLOOKUP(A75,'800'!$A$7:$AB$188,19,FALSE),IF($C$1='Adj-Mixed'!$A$19,VLOOKUP(A75,'800'!$A$7:$AB$188,28,FALSE)))))</f>
        <v>2.2641446259913671</v>
      </c>
      <c r="F75" s="26">
        <f>IF(A75&gt;200,"",IF($C$1='Adj-Mixed'!$A$21,VLOOKUP(A75,'800'!$A$7:$AB$188,7,FALSE),IF($C$1='Adj-Mixed'!$A$20,VLOOKUP(A75,'800'!$A$7:$AB$188,16,FALSE),IF($C$1='Adj-Mixed'!$A$19,VLOOKUP(A75,'800'!$A$7:$AB$188,25,FALSE)))))</f>
        <v>2.0791438409617777</v>
      </c>
      <c r="G75" s="26">
        <f t="shared" si="20"/>
        <v>75.040169265693962</v>
      </c>
      <c r="H75" s="1"/>
      <c r="I75" s="127">
        <f t="shared" si="13"/>
        <v>80.381864137555297</v>
      </c>
      <c r="J75" s="25">
        <f>IF(A75&gt;200,"",(C75*'Adj-Mixed'!$C$6))</f>
        <v>1442.371746230649</v>
      </c>
      <c r="K75" s="26">
        <f>IF(A75&gt;200,"",D75*'Adj-Mixed'!$C$7)</f>
        <v>0.27688253575442529</v>
      </c>
      <c r="L75" s="1">
        <f t="shared" si="14"/>
        <v>3.6116398503621312</v>
      </c>
      <c r="M75" s="26">
        <f t="shared" si="15"/>
        <v>5.2093272777230277</v>
      </c>
      <c r="N75" s="115">
        <f t="shared" si="19"/>
        <v>188.11376774880708</v>
      </c>
    </row>
    <row r="76" spans="1:14" x14ac:dyDescent="0.25">
      <c r="A76" s="22">
        <f t="shared" si="16"/>
        <v>94</v>
      </c>
      <c r="B76" s="27">
        <f>IF(A76&gt;200,"",IF($C$1='Adj-Mixed'!$A$21,VLOOKUP(A76,'800'!$A$6:$AB$188,4,FALSE),IF($C$1='Adj-Mixed'!$A$20,VLOOKUP(A76,'800'!$A$6:$AB$188,13,FALSE),IF($C$1='Adj-Mixed'!$A$19,VLOOKUP(A76,'800'!$A$6:$AB$188,22,FALSE)))))</f>
        <v>50.564315322092419</v>
      </c>
      <c r="C76" s="25">
        <f t="shared" si="17"/>
        <v>921.92296479980484</v>
      </c>
      <c r="D76" s="26">
        <f t="shared" si="18"/>
        <v>0.43786581869546581</v>
      </c>
      <c r="E76" s="26">
        <f>IF(A76&gt;200,"",IF($C$1='Adj-Mixed'!$A$21,VLOOKUP(A76,'800'!$A$7:$AB$188,10,FALSE),IF($C$1='Adj-Mixed'!$A$20,VLOOKUP(A76,'800'!$A$7:$AB$188,19,FALSE),IF($C$1='Adj-Mixed'!$A$19,VLOOKUP(A76,'800'!$A$7:$AB$188,28,FALSE)))))</f>
        <v>2.2838046664142482</v>
      </c>
      <c r="F76" s="26">
        <f>IF(A76&gt;200,"",IF($C$1='Adj-Mixed'!$A$21,VLOOKUP(A76,'800'!$A$7:$AB$188,7,FALSE),IF($C$1='Adj-Mixed'!$A$20,VLOOKUP(A76,'800'!$A$7:$AB$188,16,FALSE),IF($C$1='Adj-Mixed'!$A$19,VLOOKUP(A76,'800'!$A$7:$AB$188,25,FALSE)))))</f>
        <v>2.1069097460048032</v>
      </c>
      <c r="G76" s="26">
        <f t="shared" si="20"/>
        <v>77.147079011698764</v>
      </c>
      <c r="H76" s="1"/>
      <c r="I76" s="127">
        <f t="shared" si="13"/>
        <v>81.830836957932036</v>
      </c>
      <c r="J76" s="25">
        <f>IF(A76&gt;200,"",(C76*'Adj-Mixed'!$C$6))</f>
        <v>1448.9728203767349</v>
      </c>
      <c r="K76" s="26">
        <f>IF(A76&gt;200,"",D76*'Adj-Mixed'!$C$7)</f>
        <v>0.27449900360503682</v>
      </c>
      <c r="L76" s="1">
        <f t="shared" si="14"/>
        <v>3.643000473104999</v>
      </c>
      <c r="M76" s="26">
        <f t="shared" si="15"/>
        <v>5.2786086701487305</v>
      </c>
      <c r="N76" s="115">
        <f t="shared" si="19"/>
        <v>193.39237641895582</v>
      </c>
    </row>
    <row r="77" spans="1:14" x14ac:dyDescent="0.25">
      <c r="A77" s="22">
        <f t="shared" si="16"/>
        <v>95</v>
      </c>
      <c r="B77" s="27">
        <f>IF(A77&gt;200,"",IF($C$1='Adj-Mixed'!$A$21,VLOOKUP(A77,'800'!$A$6:$AB$188,4,FALSE),IF($C$1='Adj-Mixed'!$A$20,VLOOKUP(A77,'800'!$A$6:$AB$188,13,FALSE),IF($C$1='Adj-Mixed'!$A$19,VLOOKUP(A77,'800'!$A$6:$AB$188,22,FALSE)))))</f>
        <v>51.490277304988496</v>
      </c>
      <c r="C77" s="25">
        <f t="shared" si="17"/>
        <v>925.96198289607651</v>
      </c>
      <c r="D77" s="26">
        <f t="shared" si="18"/>
        <v>0.43415156925754445</v>
      </c>
      <c r="E77" s="26">
        <f>IF(A77&gt;200,"",IF($C$1='Adj-Mixed'!$A$21,VLOOKUP(A77,'800'!$A$7:$AB$188,10,FALSE),IF($C$1='Adj-Mixed'!$A$20,VLOOKUP(A77,'800'!$A$7:$AB$188,19,FALSE),IF($C$1='Adj-Mixed'!$A$19,VLOOKUP(A77,'800'!$A$7:$AB$188,28,FALSE)))))</f>
        <v>2.3033430507003114</v>
      </c>
      <c r="F77" s="26">
        <f>IF(A77&gt;200,"",IF($C$1='Adj-Mixed'!$A$21,VLOOKUP(A77,'800'!$A$7:$AB$188,7,FALSE),IF($C$1='Adj-Mixed'!$A$20,VLOOKUP(A77,'800'!$A$7:$AB$188,16,FALSE),IF($C$1='Adj-Mixed'!$A$19,VLOOKUP(A77,'800'!$A$7:$AB$188,25,FALSE)))))</f>
        <v>2.1343552415595033</v>
      </c>
      <c r="G77" s="26">
        <f t="shared" si="20"/>
        <v>79.281434253258269</v>
      </c>
      <c r="H77" s="1"/>
      <c r="I77" s="127">
        <f t="shared" si="13"/>
        <v>83.286157843891218</v>
      </c>
      <c r="J77" s="25">
        <f>IF(A77&gt;200,"",(C77*'Adj-Mixed'!$C$6))</f>
        <v>1455.3208859591757</v>
      </c>
      <c r="K77" s="26">
        <f>IF(A77&gt;200,"",D77*'Adj-Mixed'!$C$7)</f>
        <v>0.27217053281257453</v>
      </c>
      <c r="L77" s="1">
        <f t="shared" si="14"/>
        <v>3.6741670366227064</v>
      </c>
      <c r="M77" s="26">
        <f t="shared" si="15"/>
        <v>5.3470920268997562</v>
      </c>
      <c r="N77" s="115">
        <f t="shared" si="19"/>
        <v>198.73946844585558</v>
      </c>
    </row>
    <row r="78" spans="1:14" x14ac:dyDescent="0.25">
      <c r="A78" s="22">
        <f t="shared" si="16"/>
        <v>96</v>
      </c>
      <c r="B78" s="27">
        <f>IF(A78&gt;200,"",IF($C$1='Adj-Mixed'!$A$21,VLOOKUP(A78,'800'!$A$6:$AB$188,4,FALSE),IF($C$1='Adj-Mixed'!$A$20,VLOOKUP(A78,'800'!$A$6:$AB$188,13,FALSE),IF($C$1='Adj-Mixed'!$A$19,VLOOKUP(A78,'800'!$A$6:$AB$188,22,FALSE)))))</f>
        <v>52.420118260673647</v>
      </c>
      <c r="C78" s="25">
        <f t="shared" si="17"/>
        <v>929.84095568515102</v>
      </c>
      <c r="D78" s="26">
        <f t="shared" si="18"/>
        <v>0.43052189227144194</v>
      </c>
      <c r="E78" s="26">
        <f>IF(A78&gt;200,"",IF($C$1='Adj-Mixed'!$A$21,VLOOKUP(A78,'800'!$A$7:$AB$188,10,FALSE),IF($C$1='Adj-Mixed'!$A$20,VLOOKUP(A78,'800'!$A$7:$AB$188,19,FALSE),IF($C$1='Adj-Mixed'!$A$19,VLOOKUP(A78,'800'!$A$7:$AB$188,28,FALSE)))))</f>
        <v>2.3227622519356226</v>
      </c>
      <c r="F78" s="26">
        <f>IF(A78&gt;200,"",IF($C$1='Adj-Mixed'!$A$21,VLOOKUP(A78,'800'!$A$7:$AB$188,7,FALSE),IF($C$1='Adj-Mixed'!$A$20,VLOOKUP(A78,'800'!$A$7:$AB$188,16,FALSE),IF($C$1='Adj-Mixed'!$A$19,VLOOKUP(A78,'800'!$A$7:$AB$188,25,FALSE)))))</f>
        <v>2.1614736173269842</v>
      </c>
      <c r="G78" s="26">
        <f t="shared" si="20"/>
        <v>81.442907870585259</v>
      </c>
      <c r="H78" s="1"/>
      <c r="I78" s="127">
        <f t="shared" si="13"/>
        <v>84.747575254567693</v>
      </c>
      <c r="J78" s="25">
        <f>IF(A78&gt;200,"",(C78*'Adj-Mixed'!$C$6))</f>
        <v>1461.4174106764772</v>
      </c>
      <c r="K78" s="26">
        <f>IF(A78&gt;200,"",D78*'Adj-Mixed'!$C$7)</f>
        <v>0.26989508066821288</v>
      </c>
      <c r="L78" s="1">
        <f t="shared" si="14"/>
        <v>3.705143485847076</v>
      </c>
      <c r="M78" s="26">
        <f t="shared" si="15"/>
        <v>5.4147611992714504</v>
      </c>
      <c r="N78" s="115">
        <f t="shared" si="19"/>
        <v>204.15422964512703</v>
      </c>
    </row>
    <row r="79" spans="1:14" x14ac:dyDescent="0.25">
      <c r="A79" s="22">
        <f t="shared" si="16"/>
        <v>97</v>
      </c>
      <c r="B79" s="27">
        <f>IF(A79&gt;200,"",IF($C$1='Adj-Mixed'!$A$21,VLOOKUP(A79,'800'!$A$6:$AB$188,4,FALSE),IF($C$1='Adj-Mixed'!$A$20,VLOOKUP(A79,'800'!$A$6:$AB$188,13,FALSE),IF($C$1='Adj-Mixed'!$A$19,VLOOKUP(A79,'800'!$A$6:$AB$188,22,FALSE)))))</f>
        <v>53.353679137869342</v>
      </c>
      <c r="C79" s="25">
        <f t="shared" si="17"/>
        <v>933.56087719569564</v>
      </c>
      <c r="D79" s="26">
        <f t="shared" si="18"/>
        <v>0.42697364605230181</v>
      </c>
      <c r="E79" s="26">
        <f>IF(A79&gt;200,"",IF($C$1='Adj-Mixed'!$A$21,VLOOKUP(A79,'800'!$A$7:$AB$188,10,FALSE),IF($C$1='Adj-Mixed'!$A$20,VLOOKUP(A79,'800'!$A$7:$AB$188,19,FALSE),IF($C$1='Adj-Mixed'!$A$19,VLOOKUP(A79,'800'!$A$7:$AB$188,28,FALSE)))))</f>
        <v>2.342064924254144</v>
      </c>
      <c r="F79" s="26">
        <f>IF(A79&gt;200,"",IF($C$1='Adj-Mixed'!$A$21,VLOOKUP(A79,'800'!$A$7:$AB$188,7,FALSE),IF($C$1='Adj-Mixed'!$A$20,VLOOKUP(A79,'800'!$A$7:$AB$188,16,FALSE),IF($C$1='Adj-Mixed'!$A$19,VLOOKUP(A79,'800'!$A$7:$AB$188,25,FALSE)))))</f>
        <v>2.1882587165394645</v>
      </c>
      <c r="G79" s="26">
        <f t="shared" si="20"/>
        <v>83.631166587124724</v>
      </c>
      <c r="H79" s="1"/>
      <c r="I79" s="127">
        <f t="shared" si="13"/>
        <v>86.214839211396622</v>
      </c>
      <c r="J79" s="25">
        <f>IF(A79&gt;200,"",(C79*'Adj-Mixed'!$C$6))</f>
        <v>1467.2639568289362</v>
      </c>
      <c r="K79" s="26">
        <f>IF(A79&gt;200,"",D79*'Adj-Mixed'!$C$7)</f>
        <v>0.26767067764310093</v>
      </c>
      <c r="L79" s="1">
        <f t="shared" si="14"/>
        <v>3.7359340545076489</v>
      </c>
      <c r="M79" s="26">
        <f t="shared" si="15"/>
        <v>5.4816013832688641</v>
      </c>
      <c r="N79" s="115">
        <f t="shared" si="19"/>
        <v>209.6358310283959</v>
      </c>
    </row>
    <row r="80" spans="1:14" x14ac:dyDescent="0.25">
      <c r="A80" s="22">
        <f t="shared" si="16"/>
        <v>98</v>
      </c>
      <c r="B80" s="27">
        <f>IF(A80&gt;200,"",IF($C$1='Adj-Mixed'!$A$21,VLOOKUP(A80,'800'!$A$6:$AB$188,4,FALSE),IF($C$1='Adj-Mixed'!$A$20,VLOOKUP(A80,'800'!$A$6:$AB$188,13,FALSE),IF($C$1='Adj-Mixed'!$A$19,VLOOKUP(A80,'800'!$A$6:$AB$188,22,FALSE)))))</f>
        <v>54.290801937533018</v>
      </c>
      <c r="C80" s="25">
        <f t="shared" si="17"/>
        <v>937.12279966367623</v>
      </c>
      <c r="D80" s="26">
        <f t="shared" si="18"/>
        <v>0.42350380135328847</v>
      </c>
      <c r="E80" s="26">
        <f>IF(A80&gt;200,"",IF($C$1='Adj-Mixed'!$A$21,VLOOKUP(A80,'800'!$A$7:$AB$188,10,FALSE),IF($C$1='Adj-Mixed'!$A$20,VLOOKUP(A80,'800'!$A$7:$AB$188,19,FALSE),IF($C$1='Adj-Mixed'!$A$19,VLOOKUP(A80,'800'!$A$7:$AB$188,28,FALSE)))))</f>
        <v>2.3612538938364716</v>
      </c>
      <c r="F80" s="26">
        <f>IF(A80&gt;200,"",IF($C$1='Adj-Mixed'!$A$21,VLOOKUP(A80,'800'!$A$7:$AB$188,7,FALSE),IF($C$1='Adj-Mixed'!$A$20,VLOOKUP(A80,'800'!$A$7:$AB$188,16,FALSE),IF($C$1='Adj-Mixed'!$A$19,VLOOKUP(A80,'800'!$A$7:$AB$188,25,FALSE)))))</f>
        <v>2.2147049270004215</v>
      </c>
      <c r="G80" s="26">
        <f t="shared" si="20"/>
        <v>85.84587151412515</v>
      </c>
      <c r="H80" s="1"/>
      <c r="I80" s="127">
        <f t="shared" si="13"/>
        <v>87.687701389597038</v>
      </c>
      <c r="J80" s="25">
        <f>IF(A80&gt;200,"",(C80*'Adj-Mixed'!$C$6))</f>
        <v>1472.8621782004084</v>
      </c>
      <c r="K80" s="26">
        <f>IF(A80&gt;200,"",D80*'Adj-Mixed'!$C$7)</f>
        <v>0.26549542469601983</v>
      </c>
      <c r="L80" s="1">
        <f t="shared" si="14"/>
        <v>3.7665432507733585</v>
      </c>
      <c r="M80" s="26">
        <f t="shared" si="15"/>
        <v>5.5475990966200959</v>
      </c>
      <c r="N80" s="115">
        <f t="shared" si="19"/>
        <v>215.183430125016</v>
      </c>
    </row>
    <row r="81" spans="1:14" x14ac:dyDescent="0.25">
      <c r="A81" s="22">
        <f t="shared" si="16"/>
        <v>99</v>
      </c>
      <c r="B81" s="27">
        <f>IF(A81&gt;200,"",IF($C$1='Adj-Mixed'!$A$21,VLOOKUP(A81,'800'!$A$6:$AB$188,4,FALSE),IF($C$1='Adj-Mixed'!$A$20,VLOOKUP(A81,'800'!$A$6:$AB$188,13,FALSE),IF($C$1='Adj-Mixed'!$A$19,VLOOKUP(A81,'800'!$A$6:$AB$188,22,FALSE)))))</f>
        <v>55.231329769075771</v>
      </c>
      <c r="C81" s="25">
        <f t="shared" si="17"/>
        <v>940.52783154275232</v>
      </c>
      <c r="D81" s="26">
        <f t="shared" si="18"/>
        <v>0.42010943726040606</v>
      </c>
      <c r="E81" s="26">
        <f>IF(A81&gt;200,"",IF($C$1='Adj-Mixed'!$A$21,VLOOKUP(A81,'800'!$A$7:$AB$188,10,FALSE),IF($C$1='Adj-Mixed'!$A$20,VLOOKUP(A81,'800'!$A$7:$AB$188,19,FALSE),IF($C$1='Adj-Mixed'!$A$19,VLOOKUP(A81,'800'!$A$7:$AB$188,28,FALSE)))))</f>
        <v>2.3803321499301315</v>
      </c>
      <c r="F81" s="26">
        <f>IF(A81&gt;200,"",IF($C$1='Adj-Mixed'!$A$21,VLOOKUP(A81,'800'!$A$7:$AB$188,7,FALSE),IF($C$1='Adj-Mixed'!$A$20,VLOOKUP(A81,'800'!$A$7:$AB$188,16,FALSE),IF($C$1='Adj-Mixed'!$A$19,VLOOKUP(A81,'800'!$A$7:$AB$188,25,FALSE)))))</f>
        <v>2.2408071711477779</v>
      </c>
      <c r="G81" s="26">
        <f t="shared" si="20"/>
        <v>88.086678685272929</v>
      </c>
      <c r="H81" s="1"/>
      <c r="I81" s="127">
        <f t="shared" si="13"/>
        <v>89.165915206528311</v>
      </c>
      <c r="J81" s="25">
        <f>IF(A81&gt;200,"",(C81*'Adj-Mixed'!$C$6))</f>
        <v>1478.2138169312743</v>
      </c>
      <c r="K81" s="26">
        <f>IF(A81&gt;200,"",D81*'Adj-Mixed'!$C$7)</f>
        <v>0.26336749069983606</v>
      </c>
      <c r="L81" s="1">
        <f t="shared" si="14"/>
        <v>3.7969758429285991</v>
      </c>
      <c r="M81" s="26">
        <f t="shared" si="15"/>
        <v>5.6127421535713271</v>
      </c>
      <c r="N81" s="115">
        <f t="shared" si="19"/>
        <v>220.79617227858733</v>
      </c>
    </row>
    <row r="82" spans="1:14" x14ac:dyDescent="0.25">
      <c r="A82" s="22">
        <f t="shared" si="16"/>
        <v>100</v>
      </c>
      <c r="B82" s="27">
        <f>IF(A82&gt;200,"",IF($C$1='Adj-Mixed'!$A$21,VLOOKUP(A82,'800'!$A$6:$AB$188,4,FALSE),IF($C$1='Adj-Mixed'!$A$20,VLOOKUP(A82,'800'!$A$6:$AB$188,13,FALSE),IF($C$1='Adj-Mixed'!$A$19,VLOOKUP(A82,'800'!$A$6:$AB$188,22,FALSE)))))</f>
        <v>56.175106904587466</v>
      </c>
      <c r="C82" s="25">
        <f t="shared" si="17"/>
        <v>943.77713551169506</v>
      </c>
      <c r="D82" s="26">
        <f t="shared" si="18"/>
        <v>0.41678773726805812</v>
      </c>
      <c r="E82" s="26">
        <f>IF(A82&gt;200,"",IF($C$1='Adj-Mixed'!$A$21,VLOOKUP(A82,'800'!$A$7:$AB$188,10,FALSE),IF($C$1='Adj-Mixed'!$A$20,VLOOKUP(A82,'800'!$A$7:$AB$188,19,FALSE),IF($C$1='Adj-Mixed'!$A$19,VLOOKUP(A82,'800'!$A$7:$AB$188,28,FALSE)))))</f>
        <v>2.3993028359105666</v>
      </c>
      <c r="F82" s="26">
        <f>IF(A82&gt;200,"",IF($C$1='Adj-Mixed'!$A$21,VLOOKUP(A82,'800'!$A$7:$AB$188,7,FALSE),IF($C$1='Adj-Mixed'!$A$20,VLOOKUP(A82,'800'!$A$7:$AB$188,16,FALSE),IF($C$1='Adj-Mixed'!$A$19,VLOOKUP(A82,'800'!$A$7:$AB$188,25,FALSE)))))</f>
        <v>2.2665608952158625</v>
      </c>
      <c r="G82" s="26">
        <f t="shared" si="20"/>
        <v>90.35323958048879</v>
      </c>
      <c r="H82" s="1"/>
      <c r="I82" s="127">
        <f t="shared" si="13"/>
        <v>90.649235906915038</v>
      </c>
      <c r="J82" s="25">
        <f>IF(A82&gt;200,"",(C82*'Adj-Mixed'!$C$6))</f>
        <v>1483.3207003867296</v>
      </c>
      <c r="K82" s="26">
        <f>IF(A82&gt;200,"",D82*'Adj-Mixed'!$C$7)</f>
        <v>0.26128510998126137</v>
      </c>
      <c r="L82" s="1">
        <f t="shared" si="14"/>
        <v>3.8272368451142018</v>
      </c>
      <c r="M82" s="26">
        <f t="shared" si="15"/>
        <v>5.6770196376406954</v>
      </c>
      <c r="N82" s="115">
        <f t="shared" si="19"/>
        <v>226.47319191622802</v>
      </c>
    </row>
    <row r="83" spans="1:14" x14ac:dyDescent="0.25">
      <c r="A83" s="22">
        <f t="shared" si="16"/>
        <v>101</v>
      </c>
      <c r="B83" s="27">
        <f>IF(A83&gt;200,"",IF($C$1='Adj-Mixed'!$A$21,VLOOKUP(A83,'800'!$A$6:$AB$188,4,FALSE),IF($C$1='Adj-Mixed'!$A$20,VLOOKUP(A83,'800'!$A$6:$AB$188,13,FALSE),IF($C$1='Adj-Mixed'!$A$19,VLOOKUP(A83,'800'!$A$6:$AB$188,22,FALSE)))))</f>
        <v>57.121978831068944</v>
      </c>
      <c r="C83" s="25">
        <f t="shared" si="17"/>
        <v>946.871926481478</v>
      </c>
      <c r="D83" s="26">
        <f t="shared" si="18"/>
        <v>0.41353598552667675</v>
      </c>
      <c r="E83" s="26">
        <f>IF(A83&gt;200,"",IF($C$1='Adj-Mixed'!$A$21,VLOOKUP(A83,'800'!$A$7:$AB$188,10,FALSE),IF($C$1='Adj-Mixed'!$A$20,VLOOKUP(A83,'800'!$A$7:$AB$188,19,FALSE),IF($C$1='Adj-Mixed'!$A$19,VLOOKUP(A83,'800'!$A$7:$AB$188,28,FALSE)))))</f>
        <v>2.418169240402154</v>
      </c>
      <c r="F83" s="26">
        <f>IF(A83&gt;200,"",IF($C$1='Adj-Mixed'!$A$21,VLOOKUP(A83,'800'!$A$7:$AB$188,7,FALSE),IF($C$1='Adj-Mixed'!$A$20,VLOOKUP(A83,'800'!$A$7:$AB$188,16,FALSE),IF($C$1='Adj-Mixed'!$A$19,VLOOKUP(A83,'800'!$A$7:$AB$188,25,FALSE)))))</f>
        <v>2.2919620575719821</v>
      </c>
      <c r="G83" s="26">
        <f t="shared" si="20"/>
        <v>92.645201638060769</v>
      </c>
      <c r="H83" s="1"/>
      <c r="I83" s="127">
        <f t="shared" si="13"/>
        <v>92.137420644939596</v>
      </c>
      <c r="J83" s="25">
        <f>IF(A83&gt;200,"",(C83*'Adj-Mixed'!$C$6))</f>
        <v>1488.1847380245561</v>
      </c>
      <c r="K83" s="26">
        <f>IF(A83&gt;200,"",D83*'Adj-Mixed'!$C$7)</f>
        <v>0.25924657996848377</v>
      </c>
      <c r="L83" s="1">
        <f t="shared" si="14"/>
        <v>3.8573315031641635</v>
      </c>
      <c r="M83" s="26">
        <f t="shared" si="15"/>
        <v>5.7404218725102281</v>
      </c>
      <c r="N83" s="115">
        <f t="shared" si="19"/>
        <v>232.21361378873826</v>
      </c>
    </row>
    <row r="84" spans="1:14" x14ac:dyDescent="0.25">
      <c r="A84" s="22">
        <f t="shared" si="16"/>
        <v>102</v>
      </c>
      <c r="B84" s="27">
        <f>IF(A84&gt;200,"",IF($C$1='Adj-Mixed'!$A$21,VLOOKUP(A84,'800'!$A$6:$AB$188,4,FALSE),IF($C$1='Adj-Mixed'!$A$20,VLOOKUP(A84,'800'!$A$6:$AB$188,13,FALSE),IF($C$1='Adj-Mixed'!$A$19,VLOOKUP(A84,'800'!$A$6:$AB$188,22,FALSE)))))</f>
        <v>58.071792300672747</v>
      </c>
      <c r="C84" s="25">
        <f t="shared" si="17"/>
        <v>949.8134696038037</v>
      </c>
      <c r="D84" s="26">
        <f t="shared" si="18"/>
        <v>0.41035156325385785</v>
      </c>
      <c r="E84" s="26">
        <f>IF(A84&gt;200,"",IF($C$1='Adj-Mixed'!$A$21,VLOOKUP(A84,'800'!$A$7:$AB$188,10,FALSE),IF($C$1='Adj-Mixed'!$A$20,VLOOKUP(A84,'800'!$A$7:$AB$188,19,FALSE),IF($C$1='Adj-Mixed'!$A$19,VLOOKUP(A84,'800'!$A$7:$AB$188,28,FALSE)))))</f>
        <v>2.4369347884788364</v>
      </c>
      <c r="F84" s="26">
        <f>IF(A84&gt;200,"",IF($C$1='Adj-Mixed'!$A$21,VLOOKUP(A84,'800'!$A$7:$AB$188,7,FALSE),IF($C$1='Adj-Mixed'!$A$20,VLOOKUP(A84,'800'!$A$7:$AB$188,16,FALSE),IF($C$1='Adj-Mixed'!$A$19,VLOOKUP(A84,'800'!$A$7:$AB$188,25,FALSE)))))</f>
        <v>2.3170071163031434</v>
      </c>
      <c r="G84" s="26">
        <f t="shared" si="20"/>
        <v>94.962208754363914</v>
      </c>
      <c r="H84" s="1"/>
      <c r="I84" s="127">
        <f t="shared" si="13"/>
        <v>93.630228563204753</v>
      </c>
      <c r="J84" s="25">
        <f>IF(A84&gt;200,"",(C84*'Adj-Mixed'!$C$6))</f>
        <v>1492.8079182651541</v>
      </c>
      <c r="K84" s="26">
        <f>IF(A84&gt;200,"",D84*'Adj-Mixed'!$C$7)</f>
        <v>0.25725025894130071</v>
      </c>
      <c r="L84" s="1">
        <f t="shared" si="14"/>
        <v>3.8872652805693764</v>
      </c>
      <c r="M84" s="26">
        <f t="shared" si="15"/>
        <v>5.8029403912311812</v>
      </c>
      <c r="N84" s="115">
        <f t="shared" si="19"/>
        <v>238.01655417996943</v>
      </c>
    </row>
    <row r="85" spans="1:14" x14ac:dyDescent="0.25">
      <c r="A85" s="22">
        <f t="shared" si="16"/>
        <v>103</v>
      </c>
      <c r="B85" s="27">
        <f>IF(A85&gt;200,"",IF($C$1='Adj-Mixed'!$A$21,VLOOKUP(A85,'800'!$A$6:$AB$188,4,FALSE),IF($C$1='Adj-Mixed'!$A$20,VLOOKUP(A85,'800'!$A$6:$AB$188,13,FALSE),IF($C$1='Adj-Mixed'!$A$19,VLOOKUP(A85,'800'!$A$6:$AB$188,22,FALSE)))))</f>
        <v>59.02439537895701</v>
      </c>
      <c r="C85" s="25">
        <f t="shared" si="17"/>
        <v>952.60307828426244</v>
      </c>
      <c r="D85" s="26">
        <f t="shared" si="18"/>
        <v>0.40723194530112056</v>
      </c>
      <c r="E85" s="26">
        <f>IF(A85&gt;200,"",IF($C$1='Adj-Mixed'!$A$21,VLOOKUP(A85,'800'!$A$7:$AB$188,10,FALSE),IF($C$1='Adj-Mixed'!$A$20,VLOOKUP(A85,'800'!$A$7:$AB$188,19,FALSE),IF($C$1='Adj-Mixed'!$A$19,VLOOKUP(A85,'800'!$A$7:$AB$188,28,FALSE)))))</f>
        <v>2.4556030329609024</v>
      </c>
      <c r="F85" s="26">
        <f>IF(A85&gt;200,"",IF($C$1='Adj-Mixed'!$A$21,VLOOKUP(A85,'800'!$A$7:$AB$188,7,FALSE),IF($C$1='Adj-Mixed'!$A$20,VLOOKUP(A85,'800'!$A$7:$AB$188,16,FALSE),IF($C$1='Adj-Mixed'!$A$19,VLOOKUP(A85,'800'!$A$7:$AB$188,25,FALSE)))))</f>
        <v>2.3416930161277976</v>
      </c>
      <c r="G85" s="26">
        <f t="shared" si="20"/>
        <v>97.303901770491706</v>
      </c>
      <c r="H85" s="1"/>
      <c r="I85" s="127">
        <f t="shared" si="13"/>
        <v>95.127420868573608</v>
      </c>
      <c r="J85" s="25">
        <f>IF(A85&gt;200,"",(C85*'Adj-Mixed'!$C$6))</f>
        <v>1497.1923053688527</v>
      </c>
      <c r="K85" s="26">
        <f>IF(A85&gt;200,"",D85*'Adj-Mixed'!$C$7)</f>
        <v>0.25529456387881322</v>
      </c>
      <c r="L85" s="1">
        <f t="shared" si="14"/>
        <v>3.9170438445947244</v>
      </c>
      <c r="M85" s="26">
        <f t="shared" si="15"/>
        <v>5.8645679039196494</v>
      </c>
      <c r="N85" s="115">
        <f t="shared" si="19"/>
        <v>243.88112208388907</v>
      </c>
    </row>
    <row r="86" spans="1:14" x14ac:dyDescent="0.25">
      <c r="A86" s="22">
        <f t="shared" si="16"/>
        <v>104</v>
      </c>
      <c r="B86" s="27">
        <f>IF(A86&gt;200,"",IF($C$1='Adj-Mixed'!$A$21,VLOOKUP(A86,'800'!$A$6:$AB$188,4,FALSE),IF($C$1='Adj-Mixed'!$A$20,VLOOKUP(A86,'800'!$A$6:$AB$188,13,FALSE),IF($C$1='Adj-Mixed'!$A$19,VLOOKUP(A86,'800'!$A$6:$AB$188,22,FALSE)))))</f>
        <v>59.979637491158449</v>
      </c>
      <c r="C86" s="25">
        <f t="shared" si="17"/>
        <v>955.24211220143934</v>
      </c>
      <c r="D86" s="26">
        <f t="shared" si="18"/>
        <v>0.40417469686823732</v>
      </c>
      <c r="E86" s="26">
        <f>IF(A86&gt;200,"",IF($C$1='Adj-Mixed'!$A$21,VLOOKUP(A86,'800'!$A$7:$AB$188,10,FALSE),IF($C$1='Adj-Mixed'!$A$20,VLOOKUP(A86,'800'!$A$7:$AB$188,19,FALSE),IF($C$1='Adj-Mixed'!$A$19,VLOOKUP(A86,'800'!$A$7:$AB$188,28,FALSE)))))</f>
        <v>2.4741776458262659</v>
      </c>
      <c r="F86" s="26">
        <f>IF(A86&gt;200,"",IF($C$1='Adj-Mixed'!$A$21,VLOOKUP(A86,'800'!$A$7:$AB$188,7,FALSE),IF($C$1='Adj-Mixed'!$A$20,VLOOKUP(A86,'800'!$A$7:$AB$188,16,FALSE),IF($C$1='Adj-Mixed'!$A$19,VLOOKUP(A86,'800'!$A$7:$AB$188,25,FALSE)))))</f>
        <v>2.3660171747064629</v>
      </c>
      <c r="G86" s="26">
        <f t="shared" si="20"/>
        <v>99.669918945198162</v>
      </c>
      <c r="H86" s="1"/>
      <c r="I86" s="127">
        <f t="shared" si="13"/>
        <v>96.628760904896183</v>
      </c>
      <c r="J86" s="25">
        <f>IF(A86&gt;200,"",(C86*'Adj-Mixed'!$C$6))</f>
        <v>1501.3400363225685</v>
      </c>
      <c r="K86" s="26">
        <f>IF(A86&gt;200,"",D86*'Adj-Mixed'!$C$7)</f>
        <v>0.25337796839963245</v>
      </c>
      <c r="L86" s="1">
        <f t="shared" si="14"/>
        <v>3.9466730525788312</v>
      </c>
      <c r="M86" s="26">
        <f t="shared" si="15"/>
        <v>5.925298264112004</v>
      </c>
      <c r="N86" s="115">
        <f t="shared" si="19"/>
        <v>249.80642034800107</v>
      </c>
    </row>
    <row r="87" spans="1:14" x14ac:dyDescent="0.25">
      <c r="A87" s="22">
        <f t="shared" si="16"/>
        <v>105</v>
      </c>
      <c r="B87" s="27">
        <f>IF(A87&gt;200,"",IF($C$1='Adj-Mixed'!$A$21,VLOOKUP(A87,'800'!$A$6:$AB$188,4,FALSE),IF($C$1='Adj-Mixed'!$A$20,VLOOKUP(A87,'800'!$A$6:$AB$188,13,FALSE),IF($C$1='Adj-Mixed'!$A$19,VLOOKUP(A87,'800'!$A$6:$AB$188,22,FALSE)))))</f>
        <v>60.937369466493507</v>
      </c>
      <c r="C87" s="25">
        <f t="shared" si="17"/>
        <v>957.731975335058</v>
      </c>
      <c r="D87" s="26">
        <f t="shared" si="18"/>
        <v>0.40117747035787188</v>
      </c>
      <c r="E87" s="26">
        <f>IF(A87&gt;200,"",IF($C$1='Adj-Mixed'!$A$21,VLOOKUP(A87,'800'!$A$7:$AB$188,10,FALSE),IF($C$1='Adj-Mixed'!$A$20,VLOOKUP(A87,'800'!$A$7:$AB$188,19,FALSE),IF($C$1='Adj-Mixed'!$A$19,VLOOKUP(A87,'800'!$A$7:$AB$188,28,FALSE)))))</f>
        <v>2.4926624097508423</v>
      </c>
      <c r="F87" s="26">
        <f>IF(A87&gt;200,"",IF($C$1='Adj-Mixed'!$A$21,VLOOKUP(A87,'800'!$A$7:$AB$188,7,FALSE),IF($C$1='Adj-Mixed'!$A$20,VLOOKUP(A87,'800'!$A$7:$AB$188,16,FALSE),IF($C$1='Adj-Mixed'!$A$19,VLOOKUP(A87,'800'!$A$7:$AB$188,25,FALSE)))))</f>
        <v>2.3899774684237411</v>
      </c>
      <c r="G87" s="26">
        <f t="shared" si="20"/>
        <v>102.0598964136219</v>
      </c>
      <c r="H87" s="1"/>
      <c r="I87" s="127">
        <f t="shared" si="13"/>
        <v>98.13401422263685</v>
      </c>
      <c r="J87" s="25">
        <f>IF(A87&gt;200,"",(C87*'Adj-Mixed'!$C$6))</f>
        <v>1505.2533177406692</v>
      </c>
      <c r="K87" s="26">
        <f>IF(A87&gt;200,"",D87*'Adj-Mixed'!$C$7)</f>
        <v>0.25149900079004583</v>
      </c>
      <c r="L87" s="1">
        <f t="shared" si="14"/>
        <v>3.976158938439724</v>
      </c>
      <c r="M87" s="26">
        <f t="shared" si="15"/>
        <v>5.9851264339506125</v>
      </c>
      <c r="N87" s="115">
        <f t="shared" si="19"/>
        <v>255.79154678195169</v>
      </c>
    </row>
    <row r="88" spans="1:14" x14ac:dyDescent="0.25">
      <c r="A88" s="22">
        <f t="shared" si="16"/>
        <v>106</v>
      </c>
      <c r="B88" s="27">
        <f>IF(A88&gt;200,"",IF($C$1='Adj-Mixed'!$A$21,VLOOKUP(A88,'800'!$A$6:$AB$188,4,FALSE),IF($C$1='Adj-Mixed'!$A$20,VLOOKUP(A88,'800'!$A$6:$AB$188,13,FALSE),IF($C$1='Adj-Mixed'!$A$19,VLOOKUP(A88,'800'!$A$6:$AB$188,22,FALSE)))))</f>
        <v>61.897443580497892</v>
      </c>
      <c r="C88" s="25">
        <f t="shared" si="17"/>
        <v>960.07411400438514</v>
      </c>
      <c r="D88" s="26">
        <f t="shared" si="18"/>
        <v>0.39823800236302775</v>
      </c>
      <c r="E88" s="26">
        <f>IF(A88&gt;200,"",IF($C$1='Adj-Mixed'!$A$21,VLOOKUP(A88,'800'!$A$7:$AB$188,10,FALSE),IF($C$1='Adj-Mixed'!$A$20,VLOOKUP(A88,'800'!$A$7:$AB$188,19,FALSE),IF($C$1='Adj-Mixed'!$A$19,VLOOKUP(A88,'800'!$A$7:$AB$188,28,FALSE)))))</f>
        <v>2.5110612097948781</v>
      </c>
      <c r="F88" s="26">
        <f>IF(A88&gt;200,"",IF($C$1='Adj-Mixed'!$A$21,VLOOKUP(A88,'800'!$A$7:$AB$188,7,FALSE),IF($C$1='Adj-Mixed'!$A$20,VLOOKUP(A88,'800'!$A$7:$AB$188,16,FALSE),IF($C$1='Adj-Mixed'!$A$19,VLOOKUP(A88,'800'!$A$7:$AB$188,25,FALSE)))))</f>
        <v>2.413572217712618</v>
      </c>
      <c r="G88" s="26">
        <f t="shared" si="20"/>
        <v>104.47346863133451</v>
      </c>
      <c r="H88" s="1"/>
      <c r="I88" s="127">
        <f t="shared" si="13"/>
        <v>99.642948645418812</v>
      </c>
      <c r="J88" s="25">
        <f>IF(A88&gt;200,"",(C88*'Adj-Mixed'!$C$6))</f>
        <v>1508.9344227819622</v>
      </c>
      <c r="K88" s="26">
        <f>IF(A88&gt;200,"",D88*'Adj-Mixed'!$C$7)</f>
        <v>0.24965624211544193</v>
      </c>
      <c r="L88" s="1">
        <f t="shared" si="14"/>
        <v>4.0055076994133252</v>
      </c>
      <c r="M88" s="26">
        <f t="shared" si="15"/>
        <v>6.0440484483629513</v>
      </c>
      <c r="N88" s="115">
        <f t="shared" si="19"/>
        <v>261.83559523031465</v>
      </c>
    </row>
    <row r="89" spans="1:14" x14ac:dyDescent="0.25">
      <c r="A89" s="22">
        <f t="shared" si="16"/>
        <v>107</v>
      </c>
      <c r="B89" s="27">
        <f>IF(A89&gt;200,"",IF($C$1='Adj-Mixed'!$A$21,VLOOKUP(A89,'800'!$A$6:$AB$188,4,FALSE),IF($C$1='Adj-Mixed'!$A$20,VLOOKUP(A89,'800'!$A$6:$AB$188,13,FALSE),IF($C$1='Adj-Mixed'!$A$19,VLOOKUP(A89,'800'!$A$6:$AB$188,22,FALSE)))))</f>
        <v>62.859713595417446</v>
      </c>
      <c r="C89" s="25">
        <f t="shared" si="17"/>
        <v>962.27001491955377</v>
      </c>
      <c r="D89" s="26">
        <f t="shared" si="18"/>
        <v>0.39535411078068317</v>
      </c>
      <c r="E89" s="26">
        <f>IF(A89&gt;200,"",IF($C$1='Adj-Mixed'!$A$21,VLOOKUP(A89,'800'!$A$7:$AB$188,10,FALSE),IF($C$1='Adj-Mixed'!$A$20,VLOOKUP(A89,'800'!$A$7:$AB$188,19,FALSE),IF($C$1='Adj-Mixed'!$A$19,VLOOKUP(A89,'800'!$A$7:$AB$188,28,FALSE)))))</f>
        <v>2.5293780252476878</v>
      </c>
      <c r="F89" s="26">
        <f>IF(A89&gt;200,"",IF($C$1='Adj-Mixed'!$A$21,VLOOKUP(A89,'800'!$A$7:$AB$188,7,FALSE),IF($C$1='Adj-Mixed'!$A$20,VLOOKUP(A89,'800'!$A$7:$AB$188,16,FALSE),IF($C$1='Adj-Mixed'!$A$19,VLOOKUP(A89,'800'!$A$7:$AB$188,25,FALSE)))))</f>
        <v>2.4368001719900017</v>
      </c>
      <c r="G89" s="26">
        <f t="shared" si="20"/>
        <v>106.91026880332451</v>
      </c>
      <c r="H89" s="1"/>
      <c r="I89" s="127">
        <f t="shared" si="13"/>
        <v>101.15533433350581</v>
      </c>
      <c r="J89" s="25">
        <f>IF(A89&gt;200,"",(C89*'Adj-Mixed'!$C$6))</f>
        <v>1512.3856880869878</v>
      </c>
      <c r="K89" s="26">
        <f>IF(A89&gt;200,"",D89*'Adj-Mixed'!$C$7)</f>
        <v>0.24784832441084231</v>
      </c>
      <c r="L89" s="1">
        <f t="shared" si="14"/>
        <v>4.034725683044619</v>
      </c>
      <c r="M89" s="26">
        <f t="shared" si="15"/>
        <v>6.1020613783936772</v>
      </c>
      <c r="N89" s="115">
        <f t="shared" si="19"/>
        <v>267.93765660870832</v>
      </c>
    </row>
    <row r="90" spans="1:14" x14ac:dyDescent="0.25">
      <c r="A90" s="22">
        <f t="shared" si="16"/>
        <v>108</v>
      </c>
      <c r="B90" s="27">
        <f>IF(A90&gt;200,"",IF($C$1='Adj-Mixed'!$A$21,VLOOKUP(A90,'800'!$A$6:$AB$188,4,FALSE),IF($C$1='Adj-Mixed'!$A$20,VLOOKUP(A90,'800'!$A$6:$AB$188,13,FALSE),IF($C$1='Adj-Mixed'!$A$19,VLOOKUP(A90,'800'!$A$6:$AB$188,22,FALSE)))))</f>
        <v>63.824034798664933</v>
      </c>
      <c r="C90" s="25">
        <f t="shared" si="17"/>
        <v>964.32120324748644</v>
      </c>
      <c r="D90" s="26">
        <f t="shared" si="18"/>
        <v>0.3925236920448682</v>
      </c>
      <c r="E90" s="26">
        <f>IF(A90&gt;200,"",IF($C$1='Adj-Mixed'!$A$21,VLOOKUP(A90,'800'!$A$7:$AB$188,10,FALSE),IF($C$1='Adj-Mixed'!$A$20,VLOOKUP(A90,'800'!$A$7:$AB$188,19,FALSE),IF($C$1='Adj-Mixed'!$A$19,VLOOKUP(A90,'800'!$A$7:$AB$188,28,FALSE)))))</f>
        <v>2.5476169216448037</v>
      </c>
      <c r="F90" s="26">
        <f>IF(A90&gt;200,"",IF($C$1='Adj-Mixed'!$A$21,VLOOKUP(A90,'800'!$A$7:$AB$188,7,FALSE),IF($C$1='Adj-Mixed'!$A$20,VLOOKUP(A90,'800'!$A$7:$AB$188,16,FALSE),IF($C$1='Adj-Mixed'!$A$19,VLOOKUP(A90,'800'!$A$7:$AB$188,25,FALSE)))))</f>
        <v>2.4596604942703708</v>
      </c>
      <c r="G90" s="26">
        <f t="shared" si="20"/>
        <v>109.36992929759488</v>
      </c>
      <c r="H90" s="1"/>
      <c r="I90" s="127">
        <f t="shared" si="13"/>
        <v>102.67094384424406</v>
      </c>
      <c r="J90" s="25">
        <f>IF(A90&gt;200,"",(C90*'Adj-Mixed'!$C$6))</f>
        <v>1515.6095107382587</v>
      </c>
      <c r="K90" s="26">
        <f>IF(A90&gt;200,"",D90*'Adj-Mixed'!$C$7)</f>
        <v>0.24607392894631167</v>
      </c>
      <c r="L90" s="1">
        <f t="shared" si="14"/>
        <v>4.0638193744538444</v>
      </c>
      <c r="M90" s="26">
        <f t="shared" si="15"/>
        <v>6.1591632938446477</v>
      </c>
      <c r="N90" s="115">
        <f t="shared" si="19"/>
        <v>274.09681990255297</v>
      </c>
    </row>
    <row r="91" spans="1:14" x14ac:dyDescent="0.25">
      <c r="A91" s="22">
        <f t="shared" si="16"/>
        <v>109</v>
      </c>
      <c r="B91" s="27">
        <f>IF(A91&gt;200,"",IF($C$1='Adj-Mixed'!$A$21,VLOOKUP(A91,'800'!$A$6:$AB$188,4,FALSE),IF($C$1='Adj-Mixed'!$A$20,VLOOKUP(A91,'800'!$A$6:$AB$188,13,FALSE),IF($C$1='Adj-Mixed'!$A$19,VLOOKUP(A91,'800'!$A$6:$AB$188,22,FALSE)))))</f>
        <v>64.7902640393593</v>
      </c>
      <c r="C91" s="25">
        <f t="shared" si="17"/>
        <v>966.22924069436772</v>
      </c>
      <c r="D91" s="26">
        <f t="shared" si="18"/>
        <v>0.38974471847301118</v>
      </c>
      <c r="E91" s="26">
        <f>IF(A91&gt;200,"",IF($C$1='Adj-Mixed'!$A$21,VLOOKUP(A91,'800'!$A$7:$AB$188,10,FALSE),IF($C$1='Adj-Mixed'!$A$20,VLOOKUP(A91,'800'!$A$7:$AB$188,19,FALSE),IF($C$1='Adj-Mixed'!$A$19,VLOOKUP(A91,'800'!$A$7:$AB$188,28,FALSE)))))</f>
        <v>2.5657820429688449</v>
      </c>
      <c r="F91" s="26">
        <f>IF(A91&gt;200,"",IF($C$1='Adj-Mixed'!$A$21,VLOOKUP(A91,'800'!$A$7:$AB$188,7,FALSE),IF($C$1='Adj-Mixed'!$A$20,VLOOKUP(A91,'800'!$A$7:$AB$188,16,FALSE),IF($C$1='Adj-Mixed'!$A$19,VLOOKUP(A91,'800'!$A$7:$AB$188,25,FALSE)))))</f>
        <v>2.482152745522006</v>
      </c>
      <c r="G91" s="26">
        <f t="shared" si="20"/>
        <v>111.85208204311688</v>
      </c>
      <c r="H91" s="1"/>
      <c r="I91" s="127">
        <f t="shared" si="13"/>
        <v>104.18955218949057</v>
      </c>
      <c r="J91" s="25">
        <f>IF(A91&gt;200,"",(C91*'Adj-Mixed'!$C$6))</f>
        <v>1518.6083452465109</v>
      </c>
      <c r="K91" s="26">
        <f>IF(A91&gt;200,"",D91*'Adj-Mixed'!$C$7)</f>
        <v>0.24433178456337679</v>
      </c>
      <c r="L91" s="1">
        <f t="shared" si="14"/>
        <v>4.0927953838957523</v>
      </c>
      <c r="M91" s="26">
        <f t="shared" si="15"/>
        <v>6.2153532253704871</v>
      </c>
      <c r="N91" s="115">
        <f t="shared" si="19"/>
        <v>280.31217312792347</v>
      </c>
    </row>
    <row r="92" spans="1:14" x14ac:dyDescent="0.25">
      <c r="A92" s="22">
        <f t="shared" si="16"/>
        <v>110</v>
      </c>
      <c r="B92" s="27">
        <f>IF(A92&gt;200,"",IF($C$1='Adj-Mixed'!$A$21,VLOOKUP(A92,'800'!$A$6:$AB$188,4,FALSE),IF($C$1='Adj-Mixed'!$A$20,VLOOKUP(A92,'800'!$A$6:$AB$188,13,FALSE),IF($C$1='Adj-Mixed'!$A$19,VLOOKUP(A92,'800'!$A$6:$AB$188,22,FALSE)))))</f>
        <v>65.758259762965508</v>
      </c>
      <c r="C92" s="25">
        <f t="shared" si="17"/>
        <v>967.995723606208</v>
      </c>
      <c r="D92" s="26">
        <f t="shared" si="18"/>
        <v>0.38701523571940827</v>
      </c>
      <c r="E92" s="26">
        <f>IF(A92&gt;200,"",IF($C$1='Adj-Mixed'!$A$21,VLOOKUP(A92,'800'!$A$7:$AB$188,10,FALSE),IF($C$1='Adj-Mixed'!$A$20,VLOOKUP(A92,'800'!$A$7:$AB$188,19,FALSE),IF($C$1='Adj-Mixed'!$A$19,VLOOKUP(A92,'800'!$A$7:$AB$188,28,FALSE)))))</f>
        <v>2.5838776040460969</v>
      </c>
      <c r="F92" s="26">
        <f>IF(A92&gt;200,"",IF($C$1='Adj-Mixed'!$A$21,VLOOKUP(A92,'800'!$A$7:$AB$188,7,FALSE),IF($C$1='Adj-Mixed'!$A$20,VLOOKUP(A92,'800'!$A$7:$AB$188,16,FALSE),IF($C$1='Adj-Mixed'!$A$19,VLOOKUP(A92,'800'!$A$7:$AB$188,25,FALSE)))))</f>
        <v>2.5042768688277581</v>
      </c>
      <c r="G92" s="26">
        <f t="shared" si="20"/>
        <v>114.35635891194464</v>
      </c>
      <c r="H92" s="1"/>
      <c r="I92" s="127">
        <f t="shared" si="13"/>
        <v>105.71093689005596</v>
      </c>
      <c r="J92" s="25">
        <f>IF(A92&gt;200,"",(C92*'Adj-Mixed'!$C$6))</f>
        <v>1521.3847005653877</v>
      </c>
      <c r="K92" s="26">
        <f>IF(A92&gt;200,"",D92*'Adj-Mixed'!$C$7)</f>
        <v>0.24262066607860139</v>
      </c>
      <c r="L92" s="1">
        <f t="shared" si="14"/>
        <v>4.1216604346310373</v>
      </c>
      <c r="M92" s="26">
        <f t="shared" si="15"/>
        <v>6.2706311261733472</v>
      </c>
      <c r="N92" s="115">
        <f t="shared" si="19"/>
        <v>286.5828042540968</v>
      </c>
    </row>
    <row r="93" spans="1:14" x14ac:dyDescent="0.25">
      <c r="A93" s="22">
        <f t="shared" si="16"/>
        <v>111</v>
      </c>
      <c r="B93" s="27">
        <f>IF(A93&gt;200,"",IF($C$1='Adj-Mixed'!$A$21,VLOOKUP(A93,'800'!$A$6:$AB$188,4,FALSE),IF($C$1='Adj-Mixed'!$A$20,VLOOKUP(A93,'800'!$A$6:$AB$188,13,FALSE),IF($C$1='Adj-Mixed'!$A$19,VLOOKUP(A93,'800'!$A$6:$AB$188,22,FALSE)))))</f>
        <v>66.727882044055136</v>
      </c>
      <c r="C93" s="25">
        <f t="shared" si="17"/>
        <v>969.62228108962734</v>
      </c>
      <c r="D93" s="26">
        <f t="shared" si="18"/>
        <v>0.38433336033043553</v>
      </c>
      <c r="E93" s="26">
        <f>IF(A93&gt;200,"",IF($C$1='Adj-Mixed'!$A$21,VLOOKUP(A93,'800'!$A$7:$AB$188,10,FALSE),IF($C$1='Adj-Mixed'!$A$20,VLOOKUP(A93,'800'!$A$7:$AB$188,19,FALSE),IF($C$1='Adj-Mixed'!$A$19,VLOOKUP(A93,'800'!$A$7:$AB$188,28,FALSE)))))</f>
        <v>2.6019078831466445</v>
      </c>
      <c r="F93" s="26">
        <f>IF(A93&gt;200,"",IF($C$1='Adj-Mixed'!$A$21,VLOOKUP(A93,'800'!$A$7:$AB$188,7,FALSE),IF($C$1='Adj-Mixed'!$A$20,VLOOKUP(A93,'800'!$A$7:$AB$188,16,FALSE),IF($C$1='Adj-Mixed'!$A$19,VLOOKUP(A93,'800'!$A$7:$AB$188,25,FALSE)))))</f>
        <v>2.5260331734096324</v>
      </c>
      <c r="G93" s="26">
        <f t="shared" si="20"/>
        <v>116.88239208535427</v>
      </c>
      <c r="H93" s="1"/>
      <c r="I93" s="127">
        <f t="shared" si="13"/>
        <v>107.23487802719386</v>
      </c>
      <c r="J93" s="25">
        <f>IF(A93&gt;200,"",(C93*'Adj-Mixed'!$C$6))</f>
        <v>1523.9411371379019</v>
      </c>
      <c r="K93" s="26">
        <f>IF(A93&gt;200,"",D93*'Adj-Mixed'!$C$7)</f>
        <v>0.24093939275094323</v>
      </c>
      <c r="L93" s="1">
        <f t="shared" si="14"/>
        <v>4.1504213511224819</v>
      </c>
      <c r="M93" s="26">
        <f t="shared" si="15"/>
        <v>6.3249978334310217</v>
      </c>
      <c r="N93" s="115">
        <f t="shared" si="19"/>
        <v>292.90780208752784</v>
      </c>
    </row>
    <row r="94" spans="1:14" x14ac:dyDescent="0.25">
      <c r="A94" s="22">
        <f t="shared" si="16"/>
        <v>112</v>
      </c>
      <c r="B94" s="27">
        <f>IF(A94&gt;200,"",IF($C$1='Adj-Mixed'!$A$21,VLOOKUP(A94,'800'!$A$6:$AB$188,4,FALSE),IF($C$1='Adj-Mixed'!$A$20,VLOOKUP(A94,'800'!$A$6:$AB$188,13,FALSE),IF($C$1='Adj-Mixed'!$A$19,VLOOKUP(A94,'800'!$A$6:$AB$188,22,FALSE)))))</f>
        <v>67.698992617209299</v>
      </c>
      <c r="C94" s="25">
        <f t="shared" si="17"/>
        <v>971.1105731541636</v>
      </c>
      <c r="D94" s="26">
        <f t="shared" si="18"/>
        <v>0.38169727739577469</v>
      </c>
      <c r="E94" s="26">
        <f>IF(A94&gt;200,"",IF($C$1='Adj-Mixed'!$A$21,VLOOKUP(A94,'800'!$A$7:$AB$188,10,FALSE),IF($C$1='Adj-Mixed'!$A$20,VLOOKUP(A94,'800'!$A$7:$AB$188,19,FALSE),IF($C$1='Adj-Mixed'!$A$19,VLOOKUP(A94,'800'!$A$7:$AB$188,28,FALSE)))))</f>
        <v>2.6198772147989908</v>
      </c>
      <c r="F94" s="26">
        <f>IF(A94&gt;200,"",IF($C$1='Adj-Mixed'!$A$21,VLOOKUP(A94,'800'!$A$7:$AB$188,7,FALSE),IF($C$1='Adj-Mixed'!$A$20,VLOOKUP(A94,'800'!$A$7:$AB$188,16,FALSE),IF($C$1='Adj-Mixed'!$A$19,VLOOKUP(A94,'800'!$A$7:$AB$188,25,FALSE)))))</f>
        <v>2.5474223185736458</v>
      </c>
      <c r="G94" s="26">
        <f t="shared" si="20"/>
        <v>119.42981440392792</v>
      </c>
      <c r="H94" s="1"/>
      <c r="I94" s="127">
        <f t="shared" si="13"/>
        <v>108.76115829117059</v>
      </c>
      <c r="J94" s="25">
        <f>IF(A94&gt;200,"",(C94*'Adj-Mixed'!$C$6))</f>
        <v>1526.2802639767303</v>
      </c>
      <c r="K94" s="26">
        <f>IF(A94&gt;200,"",D94*'Adj-Mixed'!$C$7)</f>
        <v>0.23928682680930277</v>
      </c>
      <c r="L94" s="1">
        <f t="shared" si="14"/>
        <v>4.1790850475732206</v>
      </c>
      <c r="M94" s="26">
        <f t="shared" si="15"/>
        <v>6.3784550295912616</v>
      </c>
      <c r="N94" s="115">
        <f t="shared" si="19"/>
        <v>299.28625711711908</v>
      </c>
    </row>
    <row r="95" spans="1:14" x14ac:dyDescent="0.25">
      <c r="A95" s="22">
        <f t="shared" si="16"/>
        <v>113</v>
      </c>
      <c r="B95" s="27">
        <f>IF(A95&gt;200,"",IF($C$1='Adj-Mixed'!$A$21,VLOOKUP(A95,'800'!$A$6:$AB$188,4,FALSE),IF($C$1='Adj-Mixed'!$A$20,VLOOKUP(A95,'800'!$A$6:$AB$188,13,FALSE),IF($C$1='Adj-Mixed'!$A$19,VLOOKUP(A95,'800'!$A$6:$AB$188,22,FALSE)))))</f>
        <v>68.671454906086865</v>
      </c>
      <c r="C95" s="25">
        <f t="shared" si="17"/>
        <v>972.46228887756558</v>
      </c>
      <c r="D95" s="26">
        <f t="shared" si="18"/>
        <v>0.37910523829081511</v>
      </c>
      <c r="E95" s="26">
        <f>IF(A95&gt;200,"",IF($C$1='Adj-Mixed'!$A$21,VLOOKUP(A95,'800'!$A$7:$AB$188,10,FALSE),IF($C$1='Adj-Mixed'!$A$20,VLOOKUP(A95,'800'!$A$7:$AB$188,19,FALSE),IF($C$1='Adj-Mixed'!$A$19,VLOOKUP(A95,'800'!$A$7:$AB$188,28,FALSE)))))</f>
        <v>2.6377899828250087</v>
      </c>
      <c r="F95" s="26">
        <f>IF(A95&gt;200,"",IF($C$1='Adj-Mixed'!$A$21,VLOOKUP(A95,'800'!$A$7:$AB$188,7,FALSE),IF($C$1='Adj-Mixed'!$A$20,VLOOKUP(A95,'800'!$A$7:$AB$188,16,FALSE),IF($C$1='Adj-Mixed'!$A$19,VLOOKUP(A95,'800'!$A$7:$AB$188,25,FALSE)))))</f>
        <v>2.5684452976284629</v>
      </c>
      <c r="G95" s="26">
        <f t="shared" si="20"/>
        <v>121.99825970155638</v>
      </c>
      <c r="H95" s="1"/>
      <c r="I95" s="127">
        <f t="shared" si="13"/>
        <v>110.28956302695121</v>
      </c>
      <c r="J95" s="25">
        <f>IF(A95&gt;200,"",(C95*'Adj-Mixed'!$C$6))</f>
        <v>1528.4047357806305</v>
      </c>
      <c r="K95" s="26">
        <f>IF(A95&gt;200,"",D95*'Adj-Mixed'!$C$7)</f>
        <v>0.2376618720372301</v>
      </c>
      <c r="L95" s="1">
        <f t="shared" si="14"/>
        <v>4.2076585168164815</v>
      </c>
      <c r="M95" s="26">
        <f t="shared" si="15"/>
        <v>6.431005203650014</v>
      </c>
      <c r="N95" s="115">
        <f t="shared" si="19"/>
        <v>305.71726232076907</v>
      </c>
    </row>
    <row r="96" spans="1:14" x14ac:dyDescent="0.25">
      <c r="A96" s="22">
        <f t="shared" si="16"/>
        <v>114</v>
      </c>
      <c r="B96" s="27">
        <f>IF(A96&gt;200,"",IF($C$1='Adj-Mixed'!$A$21,VLOOKUP(A96,'800'!$A$6:$AB$188,4,FALSE),IF($C$1='Adj-Mixed'!$A$20,VLOOKUP(A96,'800'!$A$6:$AB$188,13,FALSE),IF($C$1='Adj-Mixed'!$A$19,VLOOKUP(A96,'800'!$A$6:$AB$188,22,FALSE)))))</f>
        <v>69.645134050682756</v>
      </c>
      <c r="C96" s="25">
        <f t="shared" si="17"/>
        <v>973.67914459589144</v>
      </c>
      <c r="D96" s="26">
        <f t="shared" si="18"/>
        <v>0.3765555585052251</v>
      </c>
      <c r="E96" s="26">
        <f>IF(A96&gt;200,"",IF($C$1='Adj-Mixed'!$A$21,VLOOKUP(A96,'800'!$A$7:$AB$188,10,FALSE),IF($C$1='Adj-Mixed'!$A$20,VLOOKUP(A96,'800'!$A$7:$AB$188,19,FALSE),IF($C$1='Adj-Mixed'!$A$19,VLOOKUP(A96,'800'!$A$7:$AB$188,28,FALSE)))))</f>
        <v>2.6556506136029432</v>
      </c>
      <c r="F96" s="26">
        <f>IF(A96&gt;200,"",IF($C$1='Adj-Mixed'!$A$21,VLOOKUP(A96,'800'!$A$7:$AB$188,7,FALSE),IF($C$1='Adj-Mixed'!$A$20,VLOOKUP(A96,'800'!$A$7:$AB$188,16,FALSE),IF($C$1='Adj-Mixed'!$A$19,VLOOKUP(A96,'800'!$A$7:$AB$188,25,FALSE)))))</f>
        <v>2.5891034218283862</v>
      </c>
      <c r="G96" s="26">
        <f t="shared" si="20"/>
        <v>124.58736312338476</v>
      </c>
      <c r="H96" s="1"/>
      <c r="I96" s="127">
        <f t="shared" si="13"/>
        <v>111.81988027704107</v>
      </c>
      <c r="J96" s="25">
        <f>IF(A96&gt;200,"",(C96*'Adj-Mixed'!$C$6))</f>
        <v>1530.3172500898463</v>
      </c>
      <c r="K96" s="26">
        <f>IF(A96&gt;200,"",D96*'Adj-Mixed'!$C$7)</f>
        <v>0.23606347241165182</v>
      </c>
      <c r="L96" s="1">
        <f t="shared" si="14"/>
        <v>4.2361488195690926</v>
      </c>
      <c r="M96" s="26">
        <f t="shared" si="15"/>
        <v>6.4826516125343225</v>
      </c>
      <c r="N96" s="115">
        <f t="shared" si="19"/>
        <v>312.19991393330338</v>
      </c>
    </row>
    <row r="97" spans="1:14" x14ac:dyDescent="0.25">
      <c r="A97" s="22">
        <f t="shared" si="16"/>
        <v>115</v>
      </c>
      <c r="B97" s="27">
        <f>IF(A97&gt;200,"",IF($C$1='Adj-Mixed'!$A$21,VLOOKUP(A97,'800'!$A$6:$AB$188,4,FALSE),IF($C$1='Adj-Mixed'!$A$20,VLOOKUP(A97,'800'!$A$6:$AB$188,13,FALSE),IF($C$1='Adj-Mixed'!$A$19,VLOOKUP(A97,'800'!$A$6:$AB$188,22,FALSE)))))</f>
        <v>70.619896932801993</v>
      </c>
      <c r="C97" s="25">
        <f t="shared" si="17"/>
        <v>974.76288211923645</v>
      </c>
      <c r="D97" s="26">
        <f t="shared" si="18"/>
        <v>0.37404661555319868</v>
      </c>
      <c r="E97" s="26">
        <f>IF(A97&gt;200,"",IF($C$1='Adj-Mixed'!$A$21,VLOOKUP(A97,'800'!$A$7:$AB$188,10,FALSE),IF($C$1='Adj-Mixed'!$A$20,VLOOKUP(A97,'800'!$A$7:$AB$188,19,FALSE),IF($C$1='Adj-Mixed'!$A$19,VLOOKUP(A97,'800'!$A$7:$AB$188,28,FALSE)))))</f>
        <v>2.6734635695634981</v>
      </c>
      <c r="F97" s="26">
        <f>IF(A97&gt;200,"",IF($C$1='Adj-Mixed'!$A$21,VLOOKUP(A97,'800'!$A$7:$AB$188,7,FALSE),IF($C$1='Adj-Mixed'!$A$20,VLOOKUP(A97,'800'!$A$7:$AB$188,16,FALSE),IF($C$1='Adj-Mixed'!$A$19,VLOOKUP(A97,'800'!$A$7:$AB$188,25,FALSE)))))</f>
        <v>2.6093983043881082</v>
      </c>
      <c r="G97" s="26">
        <f t="shared" si="20"/>
        <v>127.19676142777287</v>
      </c>
      <c r="H97" s="1"/>
      <c r="I97" s="127">
        <f t="shared" si="13"/>
        <v>113.35190082152286</v>
      </c>
      <c r="J97" s="25">
        <f>IF(A97&gt;200,"",(C97*'Adj-Mixed'!$C$6))</f>
        <v>1532.0205444817918</v>
      </c>
      <c r="K97" s="26">
        <f>IF(A97&gt;200,"",D97*'Adj-Mixed'!$C$7)</f>
        <v>0.23449061079280023</v>
      </c>
      <c r="L97" s="1">
        <f t="shared" si="14"/>
        <v>4.264563074056797</v>
      </c>
      <c r="M97" s="26">
        <f t="shared" si="15"/>
        <v>6.5333982426934378</v>
      </c>
      <c r="N97" s="115">
        <f t="shared" si="19"/>
        <v>318.73331217599684</v>
      </c>
    </row>
    <row r="98" spans="1:14" x14ac:dyDescent="0.25">
      <c r="A98" s="22">
        <f t="shared" si="16"/>
        <v>116</v>
      </c>
      <c r="B98" s="27">
        <f>IF(A98&gt;200,"",IF($C$1='Adj-Mixed'!$A$21,VLOOKUP(A98,'800'!$A$6:$AB$188,4,FALSE),IF($C$1='Adj-Mixed'!$A$20,VLOOKUP(A98,'800'!$A$6:$AB$188,13,FALSE),IF($C$1='Adj-Mixed'!$A$19,VLOOKUP(A98,'800'!$A$6:$AB$188,22,FALSE)))))</f>
        <v>71.59561219977715</v>
      </c>
      <c r="C98" s="25">
        <f t="shared" si="17"/>
        <v>975.71526697515765</v>
      </c>
      <c r="D98" s="26">
        <f t="shared" si="18"/>
        <v>0.37157684696109294</v>
      </c>
      <c r="E98" s="26">
        <f>IF(A98&gt;200,"",IF($C$1='Adj-Mixed'!$A$21,VLOOKUP(A98,'800'!$A$7:$AB$188,10,FALSE),IF($C$1='Adj-Mixed'!$A$20,VLOOKUP(A98,'800'!$A$7:$AB$188,19,FALSE),IF($C$1='Adj-Mixed'!$A$19,VLOOKUP(A98,'800'!$A$7:$AB$188,28,FALSE)))))</f>
        <v>2.6912333429232955</v>
      </c>
      <c r="F98" s="26">
        <f>IF(A98&gt;200,"",IF($C$1='Adj-Mixed'!$A$21,VLOOKUP(A98,'800'!$A$7:$AB$188,7,FALSE),IF($C$1='Adj-Mixed'!$A$20,VLOOKUP(A98,'800'!$A$7:$AB$188,16,FALSE),IF($C$1='Adj-Mixed'!$A$19,VLOOKUP(A98,'800'!$A$7:$AB$188,25,FALSE)))))</f>
        <v>2.6293318446136689</v>
      </c>
      <c r="G98" s="26">
        <f t="shared" si="20"/>
        <v>129.82609327238654</v>
      </c>
      <c r="H98" s="1"/>
      <c r="I98" s="127">
        <f t="shared" si="13"/>
        <v>114.88541821533313</v>
      </c>
      <c r="J98" s="25">
        <f>IF(A98&gt;200,"",(C98*'Adj-Mixed'!$C$6))</f>
        <v>1533.5173938102689</v>
      </c>
      <c r="K98" s="26">
        <f>IF(A98&gt;200,"",D98*'Adj-Mixed'!$C$7)</f>
        <v>0.232942307662659</v>
      </c>
      <c r="L98" s="1">
        <f t="shared" si="14"/>
        <v>4.2929084460182052</v>
      </c>
      <c r="M98" s="26">
        <f t="shared" si="15"/>
        <v>6.5832497720039287</v>
      </c>
      <c r="N98" s="115">
        <f t="shared" si="19"/>
        <v>325.31656194800075</v>
      </c>
    </row>
    <row r="99" spans="1:14" x14ac:dyDescent="0.25">
      <c r="A99" s="22">
        <f t="shared" si="16"/>
        <v>117</v>
      </c>
      <c r="B99" s="27">
        <f>IF(A99&gt;200,"",IF($C$1='Adj-Mixed'!$A$21,VLOOKUP(A99,'800'!$A$6:$AB$188,4,FALSE),IF($C$1='Adj-Mixed'!$A$20,VLOOKUP(A99,'800'!$A$6:$AB$188,13,FALSE),IF($C$1='Adj-Mixed'!$A$19,VLOOKUP(A99,'800'!$A$6:$AB$188,22,FALSE)))))</f>
        <v>72.572150286457173</v>
      </c>
      <c r="C99" s="25">
        <f t="shared" si="17"/>
        <v>976.53808668002284</v>
      </c>
      <c r="D99" s="26">
        <f t="shared" si="18"/>
        <v>0.36914474832828309</v>
      </c>
      <c r="E99" s="26">
        <f>IF(A99&gt;200,"",IF($C$1='Adj-Mixed'!$A$21,VLOOKUP(A99,'800'!$A$7:$AB$188,10,FALSE),IF($C$1='Adj-Mixed'!$A$20,VLOOKUP(A99,'800'!$A$7:$AB$188,19,FALSE),IF($C$1='Adj-Mixed'!$A$19,VLOOKUP(A99,'800'!$A$7:$AB$188,28,FALSE)))))</f>
        <v>2.7089644496599821</v>
      </c>
      <c r="F99" s="26">
        <f>IF(A99&gt;200,"",IF($C$1='Adj-Mixed'!$A$21,VLOOKUP(A99,'800'!$A$7:$AB$188,7,FALSE),IF($C$1='Adj-Mixed'!$A$20,VLOOKUP(A99,'800'!$A$7:$AB$188,16,FALSE),IF($C$1='Adj-Mixed'!$A$19,VLOOKUP(A99,'800'!$A$7:$AB$188,25,FALSE)))))</f>
        <v>2.6489062121908478</v>
      </c>
      <c r="G99" s="26">
        <f t="shared" si="20"/>
        <v>132.47499948457738</v>
      </c>
      <c r="H99" s="1"/>
      <c r="I99" s="127">
        <f t="shared" si="13"/>
        <v>116.4202288228217</v>
      </c>
      <c r="J99" s="25">
        <f>IF(A99&gt;200,"",(C99*'Adj-Mixed'!$C$6))</f>
        <v>1534.8106074885711</v>
      </c>
      <c r="K99" s="26">
        <f>IF(A99&gt;200,"",D99*'Adj-Mixed'!$C$7)</f>
        <v>0.23141761990930917</v>
      </c>
      <c r="L99" s="1">
        <f t="shared" si="14"/>
        <v>4.3211921390942161</v>
      </c>
      <c r="M99" s="26">
        <f t="shared" si="15"/>
        <v>6.632211532078033</v>
      </c>
      <c r="N99" s="115">
        <f t="shared" si="19"/>
        <v>331.94877348007878</v>
      </c>
    </row>
    <row r="100" spans="1:14" x14ac:dyDescent="0.25">
      <c r="A100" s="22">
        <f t="shared" si="16"/>
        <v>118</v>
      </c>
      <c r="B100" s="27">
        <f>IF(A100&gt;200,"",IF($C$1='Adj-Mixed'!$A$21,VLOOKUP(A100,'800'!$A$6:$AB$188,4,FALSE),IF($C$1='Adj-Mixed'!$A$20,VLOOKUP(A100,'800'!$A$6:$AB$188,13,FALSE),IF($C$1='Adj-Mixed'!$A$19,VLOOKUP(A100,'800'!$A$6:$AB$188,22,FALSE)))))</f>
        <v>73.549383435497248</v>
      </c>
      <c r="C100" s="25">
        <f t="shared" si="17"/>
        <v>977.23314904007452</v>
      </c>
      <c r="D100" s="26">
        <f t="shared" si="18"/>
        <v>0.36674887145742585</v>
      </c>
      <c r="E100" s="26">
        <f>IF(A100&gt;200,"",IF($C$1='Adj-Mixed'!$A$21,VLOOKUP(A100,'800'!$A$7:$AB$188,10,FALSE),IF($C$1='Adj-Mixed'!$A$20,VLOOKUP(A100,'800'!$A$7:$AB$188,19,FALSE),IF($C$1='Adj-Mixed'!$A$19,VLOOKUP(A100,'800'!$A$7:$AB$188,28,FALSE)))))</f>
        <v>2.7266614237314299</v>
      </c>
      <c r="F100" s="26">
        <f>IF(A100&gt;200,"",IF($C$1='Adj-Mixed'!$A$21,VLOOKUP(A100,'800'!$A$7:$AB$188,7,FALSE),IF($C$1='Adj-Mixed'!$A$20,VLOOKUP(A100,'800'!$A$7:$AB$188,16,FALSE),IF($C$1='Adj-Mixed'!$A$19,VLOOKUP(A100,'800'!$A$7:$AB$188,25,FALSE)))))</f>
        <v>2.6681238316691802</v>
      </c>
      <c r="G100" s="26">
        <f t="shared" si="20"/>
        <v>135.14312331624657</v>
      </c>
      <c r="H100" s="1"/>
      <c r="I100" s="127">
        <f t="shared" ref="I100:I131" si="21">IF(A100&gt;200,"",I99+(J100/1000))</f>
        <v>117.956131849641</v>
      </c>
      <c r="J100" s="25">
        <f>IF(A100&gt;200,"",(C100*'Adj-Mixed'!$C$6))</f>
        <v>1535.903026819291</v>
      </c>
      <c r="K100" s="26">
        <f>IF(A100&gt;200,"",D100*'Adj-Mixed'!$C$7)</f>
        <v>0.22991563965478726</v>
      </c>
      <c r="L100" s="1">
        <f t="shared" ref="L100:L131" si="22">IF(A100&gt;200,"",1/K100)</f>
        <v>4.3494213856068065</v>
      </c>
      <c r="M100" s="26">
        <f t="shared" ref="M100:M131" si="23">IF(A100&gt;200,"",(J100/1000)/K100)</f>
        <v>6.6802894710660485</v>
      </c>
      <c r="N100" s="115">
        <f t="shared" si="19"/>
        <v>338.62906295114482</v>
      </c>
    </row>
    <row r="101" spans="1:14" x14ac:dyDescent="0.25">
      <c r="A101" s="22">
        <f t="shared" si="16"/>
        <v>119</v>
      </c>
      <c r="B101" s="27">
        <f>IF(A101&gt;200,"",IF($C$1='Adj-Mixed'!$A$21,VLOOKUP(A101,'800'!$A$6:$AB$188,4,FALSE),IF($C$1='Adj-Mixed'!$A$20,VLOOKUP(A101,'800'!$A$6:$AB$188,13,FALSE),IF($C$1='Adj-Mixed'!$A$19,VLOOKUP(A101,'800'!$A$6:$AB$188,22,FALSE)))))</f>
        <v>74.527185715980551</v>
      </c>
      <c r="C101" s="25">
        <f t="shared" si="17"/>
        <v>977.80228048330287</v>
      </c>
      <c r="D101" s="26">
        <f t="shared" si="18"/>
        <v>0.36438782255065022</v>
      </c>
      <c r="E101" s="26">
        <f>IF(A101&gt;200,"",IF($C$1='Adj-Mixed'!$A$21,VLOOKUP(A101,'800'!$A$7:$AB$188,10,FALSE),IF($C$1='Adj-Mixed'!$A$20,VLOOKUP(A101,'800'!$A$7:$AB$188,19,FALSE),IF($C$1='Adj-Mixed'!$A$19,VLOOKUP(A101,'800'!$A$7:$AB$188,28,FALSE)))))</f>
        <v>2.7443288115397961</v>
      </c>
      <c r="F101" s="26">
        <f>IF(A101&gt;200,"",IF($C$1='Adj-Mixed'!$A$21,VLOOKUP(A101,'800'!$A$7:$AB$188,7,FALSE),IF($C$1='Adj-Mixed'!$A$20,VLOOKUP(A101,'800'!$A$7:$AB$188,16,FALSE),IF($C$1='Adj-Mixed'!$A$19,VLOOKUP(A101,'800'!$A$7:$AB$188,25,FALSE)))))</f>
        <v>2.6869873671766844</v>
      </c>
      <c r="G101" s="26">
        <f t="shared" si="20"/>
        <v>137.83011068342327</v>
      </c>
      <c r="H101" s="1"/>
      <c r="I101" s="127">
        <f t="shared" si="21"/>
        <v>119.49292937201355</v>
      </c>
      <c r="J101" s="25">
        <f>IF(A101&gt;200,"",(C101*'Adj-Mixed'!$C$6))</f>
        <v>1536.7975223725489</v>
      </c>
      <c r="K101" s="26">
        <f>IF(A101&gt;200,"",D101*'Adj-Mixed'!$C$7)</f>
        <v>0.22843549312427347</v>
      </c>
      <c r="L101" s="1">
        <f t="shared" si="22"/>
        <v>4.3776034377283919</v>
      </c>
      <c r="M101" s="26">
        <f t="shared" si="23"/>
        <v>6.7274901170305457</v>
      </c>
      <c r="N101" s="115">
        <f t="shared" ref="N101:N132" si="24">IF(A101&gt;200,"",N100+M101)</f>
        <v>345.35655306817534</v>
      </c>
    </row>
    <row r="102" spans="1:14" x14ac:dyDescent="0.25">
      <c r="A102" s="22">
        <f t="shared" si="16"/>
        <v>120</v>
      </c>
      <c r="B102" s="27">
        <f>IF(A102&gt;200,"",IF($C$1='Adj-Mixed'!$A$21,VLOOKUP(A102,'800'!$A$6:$AB$188,4,FALSE),IF($C$1='Adj-Mixed'!$A$20,VLOOKUP(A102,'800'!$A$6:$AB$188,13,FALSE),IF($C$1='Adj-Mixed'!$A$19,VLOOKUP(A102,'800'!$A$6:$AB$188,22,FALSE)))))</f>
        <v>75.505433040402949</v>
      </c>
      <c r="C102" s="25">
        <f t="shared" si="17"/>
        <v>978.24732442239792</v>
      </c>
      <c r="D102" s="26">
        <f t="shared" si="18"/>
        <v>0.36206026046805512</v>
      </c>
      <c r="E102" s="26">
        <f>IF(A102&gt;200,"",IF($C$1='Adj-Mixed'!$A$21,VLOOKUP(A102,'800'!$A$7:$AB$188,10,FALSE),IF($C$1='Adj-Mixed'!$A$20,VLOOKUP(A102,'800'!$A$7:$AB$188,19,FALSE),IF($C$1='Adj-Mixed'!$A$19,VLOOKUP(A102,'800'!$A$7:$AB$188,28,FALSE)))))</f>
        <v>2.7619711666429376</v>
      </c>
      <c r="F102" s="26">
        <f>IF(A102&gt;200,"",IF($C$1='Adj-Mixed'!$A$21,VLOOKUP(A102,'800'!$A$7:$AB$188,7,FALSE),IF($C$1='Adj-Mixed'!$A$20,VLOOKUP(A102,'800'!$A$7:$AB$188,16,FALSE),IF($C$1='Adj-Mixed'!$A$19,VLOOKUP(A102,'800'!$A$7:$AB$188,25,FALSE)))))</f>
        <v>2.7054997073973412</v>
      </c>
      <c r="G102" s="26">
        <f t="shared" si="20"/>
        <v>140.53561039082061</v>
      </c>
      <c r="H102" s="1"/>
      <c r="I102" s="127">
        <f t="shared" si="21"/>
        <v>121.03042636342661</v>
      </c>
      <c r="J102" s="25">
        <f>IF(A102&gt;200,"",(C102*'Adj-Mixed'!$C$6))</f>
        <v>1537.4969914130691</v>
      </c>
      <c r="K102" s="26">
        <f>IF(A102&gt;200,"",D102*'Adj-Mixed'!$C$7)</f>
        <v>0.22697633955434024</v>
      </c>
      <c r="L102" s="1">
        <f t="shared" si="22"/>
        <v>4.4057455590457737</v>
      </c>
      <c r="M102" s="26">
        <f t="shared" si="23"/>
        <v>6.7738205419643656</v>
      </c>
      <c r="N102" s="115">
        <f t="shared" si="24"/>
        <v>352.13037361013971</v>
      </c>
    </row>
    <row r="103" spans="1:14" x14ac:dyDescent="0.25">
      <c r="A103" s="22">
        <f t="shared" si="16"/>
        <v>121</v>
      </c>
      <c r="B103" s="27">
        <f>IF(A103&gt;200,"",IF($C$1='Adj-Mixed'!$A$21,VLOOKUP(A103,'800'!$A$6:$AB$188,4,FALSE),IF($C$1='Adj-Mixed'!$A$20,VLOOKUP(A103,'800'!$A$6:$AB$188,13,FALSE),IF($C$1='Adj-Mixed'!$A$19,VLOOKUP(A103,'800'!$A$6:$AB$188,22,FALSE)))))</f>
        <v>76.484003180053364</v>
      </c>
      <c r="C103" s="25">
        <f t="shared" si="17"/>
        <v>978.57013965041517</v>
      </c>
      <c r="D103" s="26">
        <f t="shared" si="18"/>
        <v>0.35976489504548381</v>
      </c>
      <c r="E103" s="26">
        <f>IF(A103&gt;200,"",IF($C$1='Adj-Mixed'!$A$21,VLOOKUP(A103,'800'!$A$7:$AB$188,10,FALSE),IF($C$1='Adj-Mixed'!$A$20,VLOOKUP(A103,'800'!$A$7:$AB$188,19,FALSE),IF($C$1='Adj-Mixed'!$A$19,VLOOKUP(A103,'800'!$A$7:$AB$188,28,FALSE)))))</f>
        <v>2.7795930447120849</v>
      </c>
      <c r="F103" s="26">
        <f>IF(A103&gt;200,"",IF($C$1='Adj-Mixed'!$A$21,VLOOKUP(A103,'800'!$A$7:$AB$188,7,FALSE),IF($C$1='Adj-Mixed'!$A$20,VLOOKUP(A103,'800'!$A$7:$AB$188,16,FALSE),IF($C$1='Adj-Mixed'!$A$19,VLOOKUP(A103,'800'!$A$7:$AB$188,25,FALSE)))))</f>
        <v>2.7236639508404119</v>
      </c>
      <c r="G103" s="26">
        <f t="shared" si="20"/>
        <v>143.25927434166101</v>
      </c>
      <c r="H103" s="1"/>
      <c r="I103" s="127">
        <f t="shared" si="21"/>
        <v>122.56843071880529</v>
      </c>
      <c r="J103" s="25">
        <f>IF(A103&gt;200,"",(C103*'Adj-Mixed'!$C$6))</f>
        <v>1538.0043553786713</v>
      </c>
      <c r="K103" s="26">
        <f>IF(A103&gt;200,"",D103*'Adj-Mixed'!$C$7)</f>
        <v>0.22553737013836148</v>
      </c>
      <c r="L103" s="1">
        <f t="shared" si="22"/>
        <v>4.4338550165168868</v>
      </c>
      <c r="M103" s="26">
        <f t="shared" si="23"/>
        <v>6.8192883265205433</v>
      </c>
      <c r="N103" s="115">
        <f t="shared" si="24"/>
        <v>358.94966193666028</v>
      </c>
    </row>
    <row r="104" spans="1:14" x14ac:dyDescent="0.25">
      <c r="A104" s="22">
        <f t="shared" si="16"/>
        <v>122</v>
      </c>
      <c r="B104" s="27">
        <f>IF(A104&gt;200,"",IF($C$1='Adj-Mixed'!$A$21,VLOOKUP(A104,'800'!$A$6:$AB$188,4,FALSE),IF($C$1='Adj-Mixed'!$A$20,VLOOKUP(A104,'800'!$A$6:$AB$188,13,FALSE),IF($C$1='Adj-Mixed'!$A$19,VLOOKUP(A104,'800'!$A$6:$AB$188,22,FALSE)))))</f>
        <v>77.462775778822845</v>
      </c>
      <c r="C104" s="25">
        <f t="shared" si="17"/>
        <v>978.77259876948131</v>
      </c>
      <c r="D104" s="26">
        <f t="shared" si="18"/>
        <v>0.35750048546853042</v>
      </c>
      <c r="E104" s="26">
        <f>IF(A104&gt;200,"",IF($C$1='Adj-Mixed'!$A$21,VLOOKUP(A104,'800'!$A$7:$AB$188,10,FALSE),IF($C$1='Adj-Mixed'!$A$20,VLOOKUP(A104,'800'!$A$7:$AB$188,19,FALSE),IF($C$1='Adj-Mixed'!$A$19,VLOOKUP(A104,'800'!$A$7:$AB$188,28,FALSE)))))</f>
        <v>2.7971989987354204</v>
      </c>
      <c r="F104" s="26">
        <f>IF(A104&gt;200,"",IF($C$1='Adj-Mixed'!$A$21,VLOOKUP(A104,'800'!$A$7:$AB$188,7,FALSE),IF($C$1='Adj-Mixed'!$A$20,VLOOKUP(A104,'800'!$A$7:$AB$188,16,FALSE),IF($C$1='Adj-Mixed'!$A$19,VLOOKUP(A104,'800'!$A$7:$AB$188,25,FALSE)))))</f>
        <v>2.7414833914276966</v>
      </c>
      <c r="G104" s="26">
        <f t="shared" si="20"/>
        <v>146.0007577330887</v>
      </c>
      <c r="H104" s="1"/>
      <c r="I104" s="127">
        <f t="shared" si="21"/>
        <v>124.10675327621598</v>
      </c>
      <c r="J104" s="25">
        <f>IF(A104&gt;200,"",(C104*'Adj-Mixed'!$C$6))</f>
        <v>1538.3225574106905</v>
      </c>
      <c r="K104" s="26">
        <f>IF(A104&gt;200,"",D104*'Adj-Mixed'!$C$7)</f>
        <v>0.22411780700717376</v>
      </c>
      <c r="L104" s="1">
        <f t="shared" si="22"/>
        <v>4.4619390728198187</v>
      </c>
      <c r="M104" s="26">
        <f t="shared" si="23"/>
        <v>6.8639015255108689</v>
      </c>
      <c r="N104" s="115">
        <f t="shared" si="24"/>
        <v>365.81356346217115</v>
      </c>
    </row>
    <row r="105" spans="1:14" x14ac:dyDescent="0.25">
      <c r="A105" s="22">
        <f t="shared" si="16"/>
        <v>123</v>
      </c>
      <c r="B105" s="27">
        <f>IF(A105&gt;200,"",IF($C$1='Adj-Mixed'!$A$21,VLOOKUP(A105,'800'!$A$6:$AB$188,4,FALSE),IF($C$1='Adj-Mixed'!$A$20,VLOOKUP(A105,'800'!$A$6:$AB$188,13,FALSE),IF($C$1='Adj-Mixed'!$A$19,VLOOKUP(A105,'800'!$A$6:$AB$188,22,FALSE)))))</f>
        <v>78.441632365476394</v>
      </c>
      <c r="C105" s="25">
        <f t="shared" si="17"/>
        <v>978.85658665354924</v>
      </c>
      <c r="D105" s="26">
        <f t="shared" si="18"/>
        <v>0.35526583870004003</v>
      </c>
      <c r="E105" s="26">
        <f>IF(A105&gt;200,"",IF($C$1='Adj-Mixed'!$A$21,VLOOKUP(A105,'800'!$A$7:$AB$188,10,FALSE),IF($C$1='Adj-Mixed'!$A$20,VLOOKUP(A105,'800'!$A$7:$AB$188,19,FALSE),IF($C$1='Adj-Mixed'!$A$19,VLOOKUP(A105,'800'!$A$7:$AB$188,28,FALSE)))))</f>
        <v>2.8147935744655861</v>
      </c>
      <c r="F105" s="26">
        <f>IF(A105&gt;200,"",IF($C$1='Adj-Mixed'!$A$21,VLOOKUP(A105,'800'!$A$7:$AB$188,7,FALSE),IF($C$1='Adj-Mixed'!$A$20,VLOOKUP(A105,'800'!$A$7:$AB$188,16,FALSE),IF($C$1='Adj-Mixed'!$A$19,VLOOKUP(A105,'800'!$A$7:$AB$188,25,FALSE)))))</f>
        <v>2.7589615044220723</v>
      </c>
      <c r="G105" s="26">
        <f t="shared" si="20"/>
        <v>148.75971923751078</v>
      </c>
      <c r="H105" s="1"/>
      <c r="I105" s="127">
        <f t="shared" si="21"/>
        <v>125.64520783615389</v>
      </c>
      <c r="J105" s="25">
        <f>IF(A105&gt;200,"",(C105*'Adj-Mixed'!$C$6))</f>
        <v>1538.4545599379101</v>
      </c>
      <c r="K105" s="26">
        <f>IF(A105&gt;200,"",D105*'Adj-Mixed'!$C$7)</f>
        <v>0.2227169022432729</v>
      </c>
      <c r="L105" s="1">
        <f t="shared" si="22"/>
        <v>4.4900049790909158</v>
      </c>
      <c r="M105" s="26">
        <f t="shared" si="23"/>
        <v>6.9076686342263391</v>
      </c>
      <c r="N105" s="115">
        <f t="shared" si="24"/>
        <v>372.7212320963975</v>
      </c>
    </row>
    <row r="106" spans="1:14" x14ac:dyDescent="0.25">
      <c r="A106" s="22">
        <f t="shared" si="16"/>
        <v>124</v>
      </c>
      <c r="B106" s="27">
        <f>IF(A106&gt;200,"",IF($C$1='Adj-Mixed'!$A$21,VLOOKUP(A106,'800'!$A$6:$AB$188,4,FALSE),IF($C$1='Adj-Mixed'!$A$20,VLOOKUP(A106,'800'!$A$6:$AB$188,13,FALSE),IF($C$1='Adj-Mixed'!$A$19,VLOOKUP(A106,'800'!$A$6:$AB$188,22,FALSE)))))</f>
        <v>79.420456364421852</v>
      </c>
      <c r="C106" s="25">
        <f t="shared" si="17"/>
        <v>978.82399894545813</v>
      </c>
      <c r="D106" s="26">
        <f t="shared" si="18"/>
        <v>0.35305980795822878</v>
      </c>
      <c r="E106" s="26">
        <f>IF(A106&gt;200,"",IF($C$1='Adj-Mixed'!$A$21,VLOOKUP(A106,'800'!$A$7:$AB$188,10,FALSE),IF($C$1='Adj-Mixed'!$A$20,VLOOKUP(A106,'800'!$A$7:$AB$188,19,FALSE),IF($C$1='Adj-Mixed'!$A$19,VLOOKUP(A106,'800'!$A$7:$AB$188,28,FALSE)))))</f>
        <v>2.832381306110924</v>
      </c>
      <c r="F106" s="26">
        <f>IF(A106&gt;200,"",IF($C$1='Adj-Mixed'!$A$21,VLOOKUP(A106,'800'!$A$7:$AB$188,7,FALSE),IF($C$1='Adj-Mixed'!$A$20,VLOOKUP(A106,'800'!$A$7:$AB$188,16,FALSE),IF($C$1='Adj-Mixed'!$A$19,VLOOKUP(A106,'800'!$A$7:$AB$188,25,FALSE)))))</f>
        <v>2.7761019327178111</v>
      </c>
      <c r="G106" s="26">
        <f t="shared" si="20"/>
        <v>151.53582117022859</v>
      </c>
      <c r="H106" s="1"/>
      <c r="I106" s="127">
        <f t="shared" si="21"/>
        <v>127.1836111784683</v>
      </c>
      <c r="J106" s="25">
        <f>IF(A106&gt;200,"",(C106*'Adj-Mixed'!$C$6))</f>
        <v>1538.4033423144151</v>
      </c>
      <c r="K106" s="26">
        <f>IF(A106&gt;200,"",D106*'Adj-Mixed'!$C$7)</f>
        <v>0.22133393692674422</v>
      </c>
      <c r="L106" s="1">
        <f t="shared" si="22"/>
        <v>4.5180599680516869</v>
      </c>
      <c r="M106" s="26">
        <f t="shared" si="23"/>
        <v>6.9505985556276748</v>
      </c>
      <c r="N106" s="115">
        <f t="shared" si="24"/>
        <v>379.67183065202516</v>
      </c>
    </row>
    <row r="107" spans="1:14" x14ac:dyDescent="0.25">
      <c r="A107" s="22">
        <f t="shared" si="16"/>
        <v>125</v>
      </c>
      <c r="B107" s="27">
        <f>IF(A107&gt;200,"",IF($C$1='Adj-Mixed'!$A$21,VLOOKUP(A107,'800'!$A$6:$AB$188,4,FALSE),IF($C$1='Adj-Mixed'!$A$20,VLOOKUP(A107,'800'!$A$6:$AB$188,13,FALSE),IF($C$1='Adj-Mixed'!$A$19,VLOOKUP(A107,'800'!$A$6:$AB$188,22,FALSE)))))</f>
        <v>80.399133105011146</v>
      </c>
      <c r="C107" s="25">
        <f t="shared" si="17"/>
        <v>978.6767405892931</v>
      </c>
      <c r="D107" s="26">
        <f t="shared" si="18"/>
        <v>0.3508812912433138</v>
      </c>
      <c r="E107" s="26">
        <f>IF(A107&gt;200,"",IF($C$1='Adj-Mixed'!$A$21,VLOOKUP(A107,'800'!$A$7:$AB$188,10,FALSE),IF($C$1='Adj-Mixed'!$A$20,VLOOKUP(A107,'800'!$A$7:$AB$188,19,FALSE),IF($C$1='Adj-Mixed'!$A$19,VLOOKUP(A107,'800'!$A$7:$AB$188,28,FALSE)))))</f>
        <v>2.8499667122649859</v>
      </c>
      <c r="F107" s="26">
        <f>IF(A107&gt;200,"",IF($C$1='Adj-Mixed'!$A$21,VLOOKUP(A107,'800'!$A$7:$AB$188,7,FALSE),IF($C$1='Adj-Mixed'!$A$20,VLOOKUP(A107,'800'!$A$7:$AB$188,16,FALSE),IF($C$1='Adj-Mixed'!$A$19,VLOOKUP(A107,'800'!$A$7:$AB$188,25,FALSE)))))</f>
        <v>2.7929084735105953</v>
      </c>
      <c r="G107" s="26">
        <f t="shared" si="20"/>
        <v>154.32872964373919</v>
      </c>
      <c r="H107" s="1"/>
      <c r="I107" s="127">
        <f t="shared" si="21"/>
        <v>128.72178307698121</v>
      </c>
      <c r="J107" s="25">
        <f>IF(A107&gt;200,"",(C107*'Adj-Mixed'!$C$6))</f>
        <v>1538.1718985129228</v>
      </c>
      <c r="K107" s="26">
        <f>IF(A107&gt;200,"",D107*'Adj-Mixed'!$C$7)</f>
        <v>0.2199682202116037</v>
      </c>
      <c r="L107" s="1">
        <f t="shared" si="22"/>
        <v>4.5461112475157819</v>
      </c>
      <c r="M107" s="26">
        <f t="shared" si="23"/>
        <v>6.9927005684423023</v>
      </c>
      <c r="N107" s="115">
        <f t="shared" si="24"/>
        <v>386.66453122046744</v>
      </c>
    </row>
    <row r="108" spans="1:14" x14ac:dyDescent="0.25">
      <c r="A108" s="22">
        <f t="shared" si="16"/>
        <v>126</v>
      </c>
      <c r="B108" s="27">
        <f>IF(A108&gt;200,"",IF($C$1='Adj-Mixed'!$A$21,VLOOKUP(A108,'800'!$A$6:$AB$188,4,FALSE),IF($C$1='Adj-Mixed'!$A$20,VLOOKUP(A108,'800'!$A$6:$AB$188,13,FALSE),IF($C$1='Adj-Mixed'!$A$19,VLOOKUP(A108,'800'!$A$6:$AB$188,22,FALSE)))))</f>
        <v>81.377549829409574</v>
      </c>
      <c r="C108" s="25">
        <f t="shared" si="17"/>
        <v>978.41672439842853</v>
      </c>
      <c r="D108" s="26">
        <f t="shared" si="18"/>
        <v>0.34872922991012884</v>
      </c>
      <c r="E108" s="26">
        <f>IF(A108&gt;200,"",IF($C$1='Adj-Mixed'!$A$21,VLOOKUP(A108,'800'!$A$7:$AB$188,10,FALSE),IF($C$1='Adj-Mixed'!$A$20,VLOOKUP(A108,'800'!$A$7:$AB$188,19,FALSE),IF($C$1='Adj-Mixed'!$A$19,VLOOKUP(A108,'800'!$A$7:$AB$188,28,FALSE)))))</f>
        <v>2.8675542920727075</v>
      </c>
      <c r="F108" s="26">
        <f>IF(A108&gt;200,"",IF($C$1='Adj-Mixed'!$A$21,VLOOKUP(A108,'800'!$A$7:$AB$188,7,FALSE),IF($C$1='Adj-Mixed'!$A$20,VLOOKUP(A108,'800'!$A$7:$AB$188,16,FALSE),IF($C$1='Adj-Mixed'!$A$19,VLOOKUP(A108,'800'!$A$7:$AB$188,25,FALSE)))))</f>
        <v>2.8093850653625276</v>
      </c>
      <c r="G108" s="26">
        <f t="shared" si="20"/>
        <v>157.13811470910173</v>
      </c>
      <c r="H108" s="1"/>
      <c r="I108" s="127">
        <f t="shared" si="21"/>
        <v>130.25954631185542</v>
      </c>
      <c r="J108" s="25">
        <f>IF(A108&gt;200,"",(C108*'Adj-Mixed'!$C$6))</f>
        <v>1537.7632348741961</v>
      </c>
      <c r="K108" s="26">
        <f>IF(A108&gt;200,"",D108*'Adj-Mixed'!$C$7)</f>
        <v>0.21861908843096783</v>
      </c>
      <c r="L108" s="1">
        <f t="shared" si="22"/>
        <v>4.5741659942734811</v>
      </c>
      <c r="M108" s="26">
        <f t="shared" si="23"/>
        <v>7.0339842962055315</v>
      </c>
      <c r="N108" s="115">
        <f t="shared" si="24"/>
        <v>393.69851551667296</v>
      </c>
    </row>
    <row r="109" spans="1:14" x14ac:dyDescent="0.25">
      <c r="A109" s="22">
        <f t="shared" si="16"/>
        <v>127</v>
      </c>
      <c r="B109" s="27">
        <f>IF(A109&gt;200,"",IF($C$1='Adj-Mixed'!$A$21,VLOOKUP(A109,'800'!$A$6:$AB$188,4,FALSE),IF($C$1='Adj-Mixed'!$A$20,VLOOKUP(A109,'800'!$A$6:$AB$188,13,FALSE),IF($C$1='Adj-Mixed'!$A$19,VLOOKUP(A109,'800'!$A$6:$AB$188,22,FALSE)))))</f>
        <v>82.355595699068957</v>
      </c>
      <c r="C109" s="25">
        <f t="shared" si="17"/>
        <v>978.04586965938256</v>
      </c>
      <c r="D109" s="26">
        <f t="shared" si="18"/>
        <v>0.34660260728455472</v>
      </c>
      <c r="E109" s="26">
        <f>IF(A109&gt;200,"",IF($C$1='Adj-Mixed'!$A$21,VLOOKUP(A109,'800'!$A$7:$AB$188,10,FALSE),IF($C$1='Adj-Mixed'!$A$20,VLOOKUP(A109,'800'!$A$7:$AB$188,19,FALSE),IF($C$1='Adj-Mixed'!$A$19,VLOOKUP(A109,'800'!$A$7:$AB$188,28,FALSE)))))</f>
        <v>2.8851485216296062</v>
      </c>
      <c r="F109" s="26">
        <f>IF(A109&gt;200,"",IF($C$1='Adj-Mixed'!$A$21,VLOOKUP(A109,'800'!$A$7:$AB$188,7,FALSE),IF($C$1='Adj-Mixed'!$A$20,VLOOKUP(A109,'800'!$A$7:$AB$188,16,FALSE),IF($C$1='Adj-Mixed'!$A$19,VLOOKUP(A109,'800'!$A$7:$AB$188,25,FALSE)))))</f>
        <v>2.8255357756750374</v>
      </c>
      <c r="G109" s="26">
        <f t="shared" si="20"/>
        <v>159.96365048477676</v>
      </c>
      <c r="H109" s="1"/>
      <c r="I109" s="127">
        <f t="shared" si="21"/>
        <v>131.79672667976817</v>
      </c>
      <c r="J109" s="25">
        <f>IF(A109&gt;200,"",(C109*'Adj-Mixed'!$C$6))</f>
        <v>1537.1803679127443</v>
      </c>
      <c r="K109" s="26">
        <f>IF(A109&gt;200,"",D109*'Adj-Mixed'!$C$7)</f>
        <v>0.21728590422969082</v>
      </c>
      <c r="L109" s="1">
        <f t="shared" si="22"/>
        <v>4.6022313483478881</v>
      </c>
      <c r="M109" s="26">
        <f t="shared" si="23"/>
        <v>7.0744596772729711</v>
      </c>
      <c r="N109" s="115">
        <f t="shared" si="24"/>
        <v>400.77297519394591</v>
      </c>
    </row>
    <row r="110" spans="1:14" x14ac:dyDescent="0.25">
      <c r="A110" s="22">
        <f t="shared" si="16"/>
        <v>128</v>
      </c>
      <c r="B110" s="27">
        <f>IF(A110&gt;200,"",IF($C$1='Adj-Mixed'!$A$21,VLOOKUP(A110,'800'!$A$6:$AB$188,4,FALSE),IF($C$1='Adj-Mixed'!$A$20,VLOOKUP(A110,'800'!$A$6:$AB$188,13,FALSE),IF($C$1='Adj-Mixed'!$A$19,VLOOKUP(A110,'800'!$A$6:$AB$188,22,FALSE)))))</f>
        <v>83.33316179984115</v>
      </c>
      <c r="C110" s="25">
        <f t="shared" si="17"/>
        <v>977.56610077219364</v>
      </c>
      <c r="D110" s="26">
        <f t="shared" si="18"/>
        <v>0.3445004473218396</v>
      </c>
      <c r="E110" s="26">
        <f>IF(A110&gt;200,"",IF($C$1='Adj-Mixed'!$A$21,VLOOKUP(A110,'800'!$A$7:$AB$188,10,FALSE),IF($C$1='Adj-Mixed'!$A$20,VLOOKUP(A110,'800'!$A$7:$AB$188,19,FALSE),IF($C$1='Adj-Mixed'!$A$19,VLOOKUP(A110,'800'!$A$7:$AB$188,28,FALSE)))))</f>
        <v>2.9027538506090207</v>
      </c>
      <c r="F110" s="26">
        <f>IF(A110&gt;200,"",IF($C$1='Adj-Mixed'!$A$21,VLOOKUP(A110,'800'!$A$7:$AB$188,7,FALSE),IF($C$1='Adj-Mixed'!$A$20,VLOOKUP(A110,'800'!$A$7:$AB$188,16,FALSE),IF($C$1='Adj-Mixed'!$A$19,VLOOKUP(A110,'800'!$A$7:$AB$188,25,FALSE)))))</f>
        <v>2.8413647885802424</v>
      </c>
      <c r="G110" s="26">
        <f t="shared" si="20"/>
        <v>162.80501527335701</v>
      </c>
      <c r="H110" s="1"/>
      <c r="I110" s="127">
        <f t="shared" si="21"/>
        <v>133.33315300194809</v>
      </c>
      <c r="J110" s="25">
        <f>IF(A110&gt;200,"",(C110*'Adj-Mixed'!$C$6))</f>
        <v>1536.426322179921</v>
      </c>
      <c r="K110" s="26">
        <f>IF(A110&gt;200,"",D110*'Adj-Mixed'!$C$7)</f>
        <v>0.2159680557232628</v>
      </c>
      <c r="L110" s="1">
        <f t="shared" si="22"/>
        <v>4.6303144076148941</v>
      </c>
      <c r="M110" s="26">
        <f t="shared" si="23"/>
        <v>7.1141369358284514</v>
      </c>
      <c r="N110" s="115">
        <f t="shared" si="24"/>
        <v>407.88711212977438</v>
      </c>
    </row>
    <row r="111" spans="1:14" x14ac:dyDescent="0.25">
      <c r="A111" s="22">
        <f t="shared" si="16"/>
        <v>129</v>
      </c>
      <c r="B111" s="27">
        <f>IF(A111&gt;200,"",IF($C$1='Adj-Mixed'!$A$21,VLOOKUP(A111,'800'!$A$6:$AB$188,4,FALSE),IF($C$1='Adj-Mixed'!$A$20,VLOOKUP(A111,'800'!$A$6:$AB$188,13,FALSE),IF($C$1='Adj-Mixed'!$A$19,VLOOKUP(A111,'800'!$A$6:$AB$188,22,FALSE)))))</f>
        <v>84.310141145768768</v>
      </c>
      <c r="C111" s="25">
        <f t="shared" si="17"/>
        <v>976.97934592761726</v>
      </c>
      <c r="D111" s="26">
        <f t="shared" si="18"/>
        <v>0.34242181330501303</v>
      </c>
      <c r="E111" s="26">
        <f>IF(A111&gt;200,"",IF($C$1='Adj-Mixed'!$A$21,VLOOKUP(A111,'800'!$A$7:$AB$188,10,FALSE),IF($C$1='Adj-Mixed'!$A$20,VLOOKUP(A111,'800'!$A$7:$AB$188,19,FALSE),IF($C$1='Adj-Mixed'!$A$19,VLOOKUP(A111,'800'!$A$7:$AB$188,28,FALSE)))))</f>
        <v>2.9203746991119623</v>
      </c>
      <c r="F111" s="26">
        <f>IF(A111&gt;200,"",IF($C$1='Adj-Mixed'!$A$21,VLOOKUP(A111,'800'!$A$7:$AB$188,7,FALSE),IF($C$1='Adj-Mixed'!$A$20,VLOOKUP(A111,'800'!$A$7:$AB$188,16,FALSE),IF($C$1='Adj-Mixed'!$A$19,VLOOKUP(A111,'800'!$A$7:$AB$188,25,FALSE)))))</f>
        <v>2.8568763932590864</v>
      </c>
      <c r="G111" s="26">
        <f t="shared" si="20"/>
        <v>165.6618916666161</v>
      </c>
      <c r="H111" s="1"/>
      <c r="I111" s="127">
        <f t="shared" si="21"/>
        <v>134.86865713013299</v>
      </c>
      <c r="J111" s="25">
        <f>IF(A111&gt;200,"",(C111*'Adj-Mixed'!$C$6))</f>
        <v>1535.5041281848944</v>
      </c>
      <c r="K111" s="26">
        <f>IF(A111&gt;200,"",D111*'Adj-Mixed'!$C$7)</f>
        <v>0.21466495568184288</v>
      </c>
      <c r="L111" s="1">
        <f t="shared" si="22"/>
        <v>4.6584222227782268</v>
      </c>
      <c r="M111" s="26">
        <f t="shared" si="23"/>
        <v>7.153026553904219</v>
      </c>
      <c r="N111" s="115">
        <f t="shared" si="24"/>
        <v>415.04013868367861</v>
      </c>
    </row>
    <row r="112" spans="1:14" x14ac:dyDescent="0.25">
      <c r="A112" s="22">
        <f t="shared" si="16"/>
        <v>130</v>
      </c>
      <c r="B112" s="27">
        <f>IF(A112&gt;200,"",IF($C$1='Adj-Mixed'!$A$21,VLOOKUP(A112,'800'!$A$6:$AB$188,4,FALSE),IF($C$1='Adj-Mixed'!$A$20,VLOOKUP(A112,'800'!$A$6:$AB$188,13,FALSE),IF($C$1='Adj-Mixed'!$A$19,VLOOKUP(A112,'800'!$A$6:$AB$188,22,FALSE)))))</f>
        <v>85.286428681589911</v>
      </c>
      <c r="C112" s="25">
        <f t="shared" si="17"/>
        <v>976.28753582114314</v>
      </c>
      <c r="D112" s="26">
        <f t="shared" si="18"/>
        <v>0.34036580658141258</v>
      </c>
      <c r="E112" s="26">
        <f>IF(A112&gt;200,"",IF($C$1='Adj-Mixed'!$A$21,VLOOKUP(A112,'800'!$A$7:$AB$188,10,FALSE),IF($C$1='Adj-Mixed'!$A$20,VLOOKUP(A112,'800'!$A$7:$AB$188,19,FALSE),IF($C$1='Adj-Mixed'!$A$19,VLOOKUP(A112,'800'!$A$7:$AB$188,28,FALSE)))))</f>
        <v>2.9380154547363695</v>
      </c>
      <c r="F112" s="26">
        <f>IF(A112&gt;200,"",IF($C$1='Adj-Mixed'!$A$21,VLOOKUP(A112,'800'!$A$7:$AB$188,7,FALSE),IF($C$1='Adj-Mixed'!$A$20,VLOOKUP(A112,'800'!$A$7:$AB$188,16,FALSE),IF($C$1='Adj-Mixed'!$A$19,VLOOKUP(A112,'800'!$A$7:$AB$188,25,FALSE)))))</f>
        <v>2.8720749726925563</v>
      </c>
      <c r="G112" s="26">
        <f t="shared" si="20"/>
        <v>168.53396663930866</v>
      </c>
      <c r="H112" s="1"/>
      <c r="I112" s="127">
        <f t="shared" si="21"/>
        <v>136.40307395050647</v>
      </c>
      <c r="J112" s="25">
        <f>IF(A112&gt;200,"",(C112*'Adj-Mixed'!$C$6))</f>
        <v>1534.4168203734866</v>
      </c>
      <c r="K112" s="26">
        <f>IF(A112&gt;200,"",D112*'Adj-Mixed'!$C$7)</f>
        <v>0.21337604073818497</v>
      </c>
      <c r="L112" s="1">
        <f t="shared" si="22"/>
        <v>4.6865617926944871</v>
      </c>
      <c r="M112" s="26">
        <f t="shared" si="23"/>
        <v>7.1911392444301416</v>
      </c>
      <c r="N112" s="115">
        <f t="shared" si="24"/>
        <v>422.23127792810874</v>
      </c>
    </row>
    <row r="113" spans="1:14" x14ac:dyDescent="0.25">
      <c r="A113" s="22">
        <f t="shared" si="16"/>
        <v>131</v>
      </c>
      <c r="B113" s="27">
        <f>IF(A113&gt;200,"",IF($C$1='Adj-Mixed'!$A$21,VLOOKUP(A113,'800'!$A$6:$AB$188,4,FALSE),IF($C$1='Adj-Mixed'!$A$20,VLOOKUP(A113,'800'!$A$6:$AB$188,13,FALSE),IF($C$1='Adj-Mixed'!$A$19,VLOOKUP(A113,'800'!$A$6:$AB$188,22,FALSE)))))</f>
        <v>86.261921283993701</v>
      </c>
      <c r="C113" s="25">
        <f t="shared" si="17"/>
        <v>975.49260240378999</v>
      </c>
      <c r="D113" s="26">
        <f t="shared" si="18"/>
        <v>0.33833156533583741</v>
      </c>
      <c r="E113" s="26">
        <f>IF(A113&gt;200,"",IF($C$1='Adj-Mixed'!$A$21,VLOOKUP(A113,'800'!$A$7:$AB$188,10,FALSE),IF($C$1='Adj-Mixed'!$A$20,VLOOKUP(A113,'800'!$A$7:$AB$188,19,FALSE),IF($C$1='Adj-Mixed'!$A$19,VLOOKUP(A113,'800'!$A$7:$AB$188,28,FALSE)))))</f>
        <v>2.9556804698591215</v>
      </c>
      <c r="F113" s="26">
        <f>IF(A113&gt;200,"",IF($C$1='Adj-Mixed'!$A$21,VLOOKUP(A113,'800'!$A$7:$AB$188,7,FALSE),IF($C$1='Adj-Mixed'!$A$20,VLOOKUP(A113,'800'!$A$7:$AB$188,16,FALSE),IF($C$1='Adj-Mixed'!$A$19,VLOOKUP(A113,'800'!$A$7:$AB$188,25,FALSE)))))</f>
        <v>2.8869649928502312</v>
      </c>
      <c r="G113" s="26">
        <f t="shared" si="20"/>
        <v>171.4209316321589</v>
      </c>
      <c r="H113" s="1"/>
      <c r="I113" s="127">
        <f t="shared" si="21"/>
        <v>137.93624138567128</v>
      </c>
      <c r="J113" s="25">
        <f>IF(A113&gt;200,"",(C113*'Adj-Mixed'!$C$6))</f>
        <v>1533.1674351648169</v>
      </c>
      <c r="K113" s="26">
        <f>IF(A113&gt;200,"",D113*'Adj-Mixed'!$C$7)</f>
        <v>0.21210077061852531</v>
      </c>
      <c r="L113" s="1">
        <f t="shared" si="22"/>
        <v>4.714740060037566</v>
      </c>
      <c r="M113" s="26">
        <f t="shared" si="23"/>
        <v>7.2284859253166092</v>
      </c>
      <c r="N113" s="115">
        <f t="shared" si="24"/>
        <v>429.45976385342533</v>
      </c>
    </row>
    <row r="114" spans="1:14" x14ac:dyDescent="0.25">
      <c r="A114" s="22">
        <f t="shared" si="16"/>
        <v>132</v>
      </c>
      <c r="B114" s="27">
        <f>IF(A114&gt;200,"",IF($C$1='Adj-Mixed'!$A$21,VLOOKUP(A114,'800'!$A$6:$AB$188,4,FALSE),IF($C$1='Adj-Mixed'!$A$20,VLOOKUP(A114,'800'!$A$6:$AB$188,13,FALSE),IF($C$1='Adj-Mixed'!$A$19,VLOOKUP(A114,'800'!$A$6:$AB$188,22,FALSE)))))</f>
        <v>87.236517761664757</v>
      </c>
      <c r="C114" s="25">
        <f t="shared" si="17"/>
        <v>974.5964776710565</v>
      </c>
      <c r="D114" s="26">
        <f t="shared" si="18"/>
        <v>0.33631826339896909</v>
      </c>
      <c r="E114" s="26">
        <f>IF(A114&gt;200,"",IF($C$1='Adj-Mixed'!$A$21,VLOOKUP(A114,'800'!$A$7:$AB$188,10,FALSE),IF($C$1='Adj-Mixed'!$A$20,VLOOKUP(A114,'800'!$A$7:$AB$188,19,FALSE),IF($C$1='Adj-Mixed'!$A$19,VLOOKUP(A114,'800'!$A$7:$AB$188,28,FALSE)))))</f>
        <v>2.9733740591236213</v>
      </c>
      <c r="F114" s="26">
        <f>IF(A114&gt;200,"",IF($C$1='Adj-Mixed'!$A$21,VLOOKUP(A114,'800'!$A$7:$AB$188,7,FALSE),IF($C$1='Adj-Mixed'!$A$20,VLOOKUP(A114,'800'!$A$7:$AB$188,16,FALSE),IF($C$1='Adj-Mixed'!$A$19,VLOOKUP(A114,'800'!$A$7:$AB$188,25,FALSE)))))</f>
        <v>2.9015509923186498</v>
      </c>
      <c r="G114" s="26">
        <f t="shared" si="20"/>
        <v>174.32248262447754</v>
      </c>
      <c r="H114" s="1"/>
      <c r="I114" s="127">
        <f t="shared" si="21"/>
        <v>139.46800039471918</v>
      </c>
      <c r="J114" s="25">
        <f>IF(A114&gt;200,"",(C114*'Adj-Mixed'!$C$6))</f>
        <v>1531.7590090479123</v>
      </c>
      <c r="K114" s="26">
        <f>IF(A114&gt;200,"",D114*'Adj-Mixed'!$C$7)</f>
        <v>0.21083862739557871</v>
      </c>
      <c r="L114" s="1">
        <f t="shared" si="22"/>
        <v>4.7429639072909753</v>
      </c>
      <c r="M114" s="26">
        <f t="shared" si="23"/>
        <v>7.2650776945820379</v>
      </c>
      <c r="N114" s="115">
        <f t="shared" si="24"/>
        <v>436.72484154800736</v>
      </c>
    </row>
    <row r="115" spans="1:14" x14ac:dyDescent="0.25">
      <c r="A115" s="22">
        <f t="shared" si="16"/>
        <v>133</v>
      </c>
      <c r="B115" s="27">
        <f>IF(A115&gt;200,"",IF($C$1='Adj-Mixed'!$A$21,VLOOKUP(A115,'800'!$A$6:$AB$188,4,FALSE),IF($C$1='Adj-Mixed'!$A$20,VLOOKUP(A115,'800'!$A$6:$AB$188,13,FALSE),IF($C$1='Adj-Mixed'!$A$19,VLOOKUP(A115,'800'!$A$6:$AB$188,22,FALSE)))))</f>
        <v>88.210118854152569</v>
      </c>
      <c r="C115" s="25">
        <f t="shared" si="17"/>
        <v>973.60109248781157</v>
      </c>
      <c r="D115" s="26">
        <f t="shared" si="18"/>
        <v>0.33432510908920032</v>
      </c>
      <c r="E115" s="26">
        <f>IF(A115&gt;200,"",IF($C$1='Adj-Mixed'!$A$21,VLOOKUP(A115,'800'!$A$7:$AB$188,10,FALSE),IF($C$1='Adj-Mixed'!$A$20,VLOOKUP(A115,'800'!$A$7:$AB$188,19,FALSE),IF($C$1='Adj-Mixed'!$A$19,VLOOKUP(A115,'800'!$A$7:$AB$188,28,FALSE)))))</f>
        <v>2.991100497130752</v>
      </c>
      <c r="F115" s="26">
        <f>IF(A115&gt;200,"",IF($C$1='Adj-Mixed'!$A$21,VLOOKUP(A115,'800'!$A$7:$AB$188,7,FALSE),IF($C$1='Adj-Mixed'!$A$20,VLOOKUP(A115,'800'!$A$7:$AB$188,16,FALSE),IF($C$1='Adj-Mixed'!$A$19,VLOOKUP(A115,'800'!$A$7:$AB$188,25,FALSE)))))</f>
        <v>2.9158375723702523</v>
      </c>
      <c r="G115" s="26">
        <f t="shared" si="20"/>
        <v>177.23832019684781</v>
      </c>
      <c r="H115" s="1"/>
      <c r="I115" s="127">
        <f t="shared" si="21"/>
        <v>140.99819497145398</v>
      </c>
      <c r="J115" s="25">
        <f>IF(A115&gt;200,"",(C115*'Adj-Mixed'!$C$6))</f>
        <v>1530.1945767348059</v>
      </c>
      <c r="K115" s="26">
        <f>IF(A115&gt;200,"",D115*'Adj-Mixed'!$C$7)</f>
        <v>0.20958911476247882</v>
      </c>
      <c r="L115" s="1">
        <f t="shared" si="22"/>
        <v>4.7712401530645838</v>
      </c>
      <c r="M115" s="26">
        <f t="shared" si="23"/>
        <v>7.3009258065187712</v>
      </c>
      <c r="N115" s="115">
        <f t="shared" si="24"/>
        <v>444.02576735452612</v>
      </c>
    </row>
    <row r="116" spans="1:14" x14ac:dyDescent="0.25">
      <c r="A116" s="22">
        <f t="shared" si="16"/>
        <v>134</v>
      </c>
      <c r="B116" s="27">
        <f>IF(A116&gt;200,"",IF($C$1='Adj-Mixed'!$A$21,VLOOKUP(A116,'800'!$A$6:$AB$188,4,FALSE),IF($C$1='Adj-Mixed'!$A$20,VLOOKUP(A116,'800'!$A$6:$AB$188,13,FALSE),IF($C$1='Adj-Mixed'!$A$19,VLOOKUP(A116,'800'!$A$6:$AB$188,22,FALSE)))))</f>
        <v>89.18262722960435</v>
      </c>
      <c r="C116" s="25">
        <f t="shared" si="17"/>
        <v>972.50837545178115</v>
      </c>
      <c r="D116" s="26">
        <f t="shared" si="18"/>
        <v>0.33235134408712069</v>
      </c>
      <c r="E116" s="26">
        <f>IF(A116&gt;200,"",IF($C$1='Adj-Mixed'!$A$21,VLOOKUP(A116,'800'!$A$7:$AB$188,10,FALSE),IF($C$1='Adj-Mixed'!$A$20,VLOOKUP(A116,'800'!$A$7:$AB$188,19,FALSE),IF($C$1='Adj-Mixed'!$A$19,VLOOKUP(A116,'800'!$A$7:$AB$188,28,FALSE)))))</f>
        <v>3.0088640163220335</v>
      </c>
      <c r="F116" s="26">
        <f>IF(A116&gt;200,"",IF($C$1='Adj-Mixed'!$A$21,VLOOKUP(A116,'800'!$A$7:$AB$188,7,FALSE),IF($C$1='Adj-Mixed'!$A$20,VLOOKUP(A116,'800'!$A$7:$AB$188,16,FALSE),IF($C$1='Adj-Mixed'!$A$19,VLOOKUP(A116,'800'!$A$7:$AB$188,25,FALSE)))))</f>
        <v>2.9298293874720129</v>
      </c>
      <c r="G116" s="26">
        <f t="shared" si="20"/>
        <v>180.16814958431982</v>
      </c>
      <c r="H116" s="1"/>
      <c r="I116" s="127">
        <f t="shared" si="21"/>
        <v>142.52667214082828</v>
      </c>
      <c r="J116" s="25">
        <f>IF(A116&gt;200,"",(C116*'Adj-Mixed'!$C$6))</f>
        <v>1528.4771693742955</v>
      </c>
      <c r="K116" s="26">
        <f>IF(A116&gt;200,"",D116*'Adj-Mixed'!$C$7)</f>
        <v>0.20835175732719069</v>
      </c>
      <c r="L116" s="1">
        <f t="shared" si="22"/>
        <v>4.7995755487179483</v>
      </c>
      <c r="M116" s="26">
        <f t="shared" si="23"/>
        <v>7.3360416489024907</v>
      </c>
      <c r="N116" s="115">
        <f t="shared" si="24"/>
        <v>451.36180900342862</v>
      </c>
    </row>
    <row r="117" spans="1:14" x14ac:dyDescent="0.25">
      <c r="A117" s="22">
        <f t="shared" si="16"/>
        <v>135</v>
      </c>
      <c r="B117" s="27">
        <f>IF(A117&gt;200,"",IF($C$1='Adj-Mixed'!$A$21,VLOOKUP(A117,'800'!$A$6:$AB$188,4,FALSE),IF($C$1='Adj-Mixed'!$A$20,VLOOKUP(A117,'800'!$A$6:$AB$188,13,FALSE),IF($C$1='Adj-Mixed'!$A$19,VLOOKUP(A117,'800'!$A$6:$AB$188,22,FALSE)))))</f>
        <v>90.15394748139758</v>
      </c>
      <c r="C117" s="25">
        <f t="shared" si="17"/>
        <v>971.32025179323023</v>
      </c>
      <c r="D117" s="26">
        <f t="shared" si="18"/>
        <v>0.33039624234089299</v>
      </c>
      <c r="E117" s="26">
        <f>IF(A117&gt;200,"",IF($C$1='Adj-Mixed'!$A$21,VLOOKUP(A117,'800'!$A$7:$AB$188,10,FALSE),IF($C$1='Adj-Mixed'!$A$20,VLOOKUP(A117,'800'!$A$7:$AB$188,19,FALSE),IF($C$1='Adj-Mixed'!$A$19,VLOOKUP(A117,'800'!$A$7:$AB$188,28,FALSE)))))</f>
        <v>3.0266688050532666</v>
      </c>
      <c r="F117" s="26">
        <f>IF(A117&gt;200,"",IF($C$1='Adj-Mixed'!$A$21,VLOOKUP(A117,'800'!$A$7:$AB$188,7,FALSE),IF($C$1='Adj-Mixed'!$A$20,VLOOKUP(A117,'800'!$A$7:$AB$188,16,FALSE),IF($C$1='Adj-Mixed'!$A$19,VLOOKUP(A117,'800'!$A$7:$AB$188,25,FALSE)))))</f>
        <v>2.9435311362315026</v>
      </c>
      <c r="G117" s="26">
        <f t="shared" si="20"/>
        <v>183.11168072055133</v>
      </c>
      <c r="H117" s="1"/>
      <c r="I117" s="127">
        <f t="shared" si="21"/>
        <v>144.05328195365087</v>
      </c>
      <c r="J117" s="25">
        <f>IF(A117&gt;200,"",(C117*'Adj-Mixed'!$C$6))</f>
        <v>1526.6098128225899</v>
      </c>
      <c r="K117" s="26">
        <f>IF(A117&gt;200,"",D117*'Adj-Mixed'!$C$7)</f>
        <v>0.20712609992628903</v>
      </c>
      <c r="L117" s="1">
        <f t="shared" si="22"/>
        <v>4.8279767752874934</v>
      </c>
      <c r="M117" s="26">
        <f t="shared" si="23"/>
        <v>7.3704367212334523</v>
      </c>
      <c r="N117" s="115">
        <f t="shared" si="24"/>
        <v>458.73224572466205</v>
      </c>
    </row>
    <row r="118" spans="1:14" x14ac:dyDescent="0.25">
      <c r="A118" s="22">
        <f t="shared" si="16"/>
        <v>136</v>
      </c>
      <c r="B118" s="27">
        <f>IF(A118&gt;200,"",IF($C$1='Adj-Mixed'!$A$21,VLOOKUP(A118,'800'!$A$6:$AB$188,4,FALSE),IF($C$1='Adj-Mixed'!$A$20,VLOOKUP(A118,'800'!$A$6:$AB$188,13,FALSE),IF($C$1='Adj-Mixed'!$A$19,VLOOKUP(A118,'800'!$A$6:$AB$188,22,FALSE)))))</f>
        <v>91.123986123709869</v>
      </c>
      <c r="C118" s="25">
        <f t="shared" si="17"/>
        <v>970.03864231228931</v>
      </c>
      <c r="D118" s="26">
        <f t="shared" si="18"/>
        <v>0.32845910900179981</v>
      </c>
      <c r="E118" s="26">
        <f>IF(A118&gt;200,"",IF($C$1='Adj-Mixed'!$A$21,VLOOKUP(A118,'800'!$A$7:$AB$188,10,FALSE),IF($C$1='Adj-Mixed'!$A$20,VLOOKUP(A118,'800'!$A$7:$AB$188,19,FALSE),IF($C$1='Adj-Mixed'!$A$19,VLOOKUP(A118,'800'!$A$7:$AB$188,28,FALSE)))))</f>
        <v>3.0445190058483669</v>
      </c>
      <c r="F118" s="26">
        <f>IF(A118&gt;200,"",IF($C$1='Adj-Mixed'!$A$21,VLOOKUP(A118,'800'!$A$7:$AB$188,7,FALSE),IF($C$1='Adj-Mixed'!$A$20,VLOOKUP(A118,'800'!$A$7:$AB$188,16,FALSE),IF($C$1='Adj-Mixed'!$A$19,VLOOKUP(A118,'800'!$A$7:$AB$188,25,FALSE)))))</f>
        <v>2.9569475527766858</v>
      </c>
      <c r="G118" s="26">
        <f t="shared" si="20"/>
        <v>186.06862827332802</v>
      </c>
      <c r="H118" s="1"/>
      <c r="I118" s="127">
        <f t="shared" si="21"/>
        <v>145.57787747962399</v>
      </c>
      <c r="J118" s="25">
        <f>IF(A118&gt;200,"",(C118*'Adj-Mixed'!$C$6))</f>
        <v>1524.5955259731199</v>
      </c>
      <c r="K118" s="26">
        <f>IF(A118&gt;200,"",D118*'Adj-Mixed'!$C$7)</f>
        <v>0.2059117069576499</v>
      </c>
      <c r="L118" s="1">
        <f t="shared" si="22"/>
        <v>4.856450440701126</v>
      </c>
      <c r="M118" s="26">
        <f t="shared" si="23"/>
        <v>7.4041226140031231</v>
      </c>
      <c r="N118" s="115">
        <f t="shared" si="24"/>
        <v>466.13636833866519</v>
      </c>
    </row>
    <row r="119" spans="1:14" x14ac:dyDescent="0.25">
      <c r="A119" s="22">
        <f t="shared" si="16"/>
        <v>137</v>
      </c>
      <c r="B119" s="27">
        <f>IF(A119&gt;200,"",IF($C$1='Adj-Mixed'!$A$21,VLOOKUP(A119,'800'!$A$6:$AB$188,4,FALSE),IF($C$1='Adj-Mixed'!$A$20,VLOOKUP(A119,'800'!$A$6:$AB$188,13,FALSE),IF($C$1='Adj-Mixed'!$A$19,VLOOKUP(A119,'800'!$A$6:$AB$188,22,FALSE)))))</f>
        <v>92.092651586062999</v>
      </c>
      <c r="C119" s="25">
        <f t="shared" si="17"/>
        <v>968.66546235312967</v>
      </c>
      <c r="D119" s="26">
        <f t="shared" si="18"/>
        <v>0.32653927938867455</v>
      </c>
      <c r="E119" s="26">
        <f>IF(A119&gt;200,"",IF($C$1='Adj-Mixed'!$A$21,VLOOKUP(A119,'800'!$A$7:$AB$188,10,FALSE),IF($C$1='Adj-Mixed'!$A$20,VLOOKUP(A119,'800'!$A$7:$AB$188,19,FALSE),IF($C$1='Adj-Mixed'!$A$19,VLOOKUP(A119,'800'!$A$7:$AB$188,28,FALSE)))))</f>
        <v>3.0624187138286532</v>
      </c>
      <c r="F119" s="26">
        <f>IF(A119&gt;200,"",IF($C$1='Adj-Mixed'!$A$21,VLOOKUP(A119,'800'!$A$7:$AB$188,7,FALSE),IF($C$1='Adj-Mixed'!$A$20,VLOOKUP(A119,'800'!$A$7:$AB$188,16,FALSE),IF($C$1='Adj-Mixed'!$A$19,VLOOKUP(A119,'800'!$A$7:$AB$188,25,FALSE)))))</f>
        <v>2.9700833985645838</v>
      </c>
      <c r="G119" s="26">
        <f t="shared" si="20"/>
        <v>189.0387116718926</v>
      </c>
      <c r="H119" s="1"/>
      <c r="I119" s="127">
        <f t="shared" si="21"/>
        <v>147.10031479876827</v>
      </c>
      <c r="J119" s="25">
        <f>IF(A119&gt;200,"",(C119*'Adj-Mixed'!$C$6))</f>
        <v>1522.4373191442658</v>
      </c>
      <c r="K119" s="26">
        <f>IF(A119&gt;200,"",D119*'Adj-Mixed'!$C$7)</f>
        <v>0.20470816173125067</v>
      </c>
      <c r="L119" s="1">
        <f t="shared" si="22"/>
        <v>4.8850030772727147</v>
      </c>
      <c r="M119" s="26">
        <f t="shared" si="23"/>
        <v>7.4371109889745597</v>
      </c>
      <c r="N119" s="115">
        <f t="shared" si="24"/>
        <v>473.57347932763975</v>
      </c>
    </row>
    <row r="120" spans="1:14" x14ac:dyDescent="0.25">
      <c r="A120" s="22">
        <f t="shared" si="16"/>
        <v>138</v>
      </c>
      <c r="B120" s="27">
        <f>IF(A120&gt;200,"",IF($C$1='Adj-Mixed'!$A$21,VLOOKUP(A120,'800'!$A$6:$AB$188,4,FALSE),IF($C$1='Adj-Mixed'!$A$20,VLOOKUP(A120,'800'!$A$6:$AB$188,13,FALSE),IF($C$1='Adj-Mixed'!$A$19,VLOOKUP(A120,'800'!$A$6:$AB$188,22,FALSE)))))</f>
        <v>93.059854206877844</v>
      </c>
      <c r="C120" s="25">
        <f t="shared" si="17"/>
        <v>967.2026208148452</v>
      </c>
      <c r="D120" s="26">
        <f t="shared" si="18"/>
        <v>0.32463611798028202</v>
      </c>
      <c r="E120" s="26">
        <f>IF(A120&gt;200,"",IF($C$1='Adj-Mixed'!$A$21,VLOOKUP(A120,'800'!$A$7:$AB$188,10,FALSE),IF($C$1='Adj-Mixed'!$A$20,VLOOKUP(A120,'800'!$A$7:$AB$188,19,FALSE),IF($C$1='Adj-Mixed'!$A$19,VLOOKUP(A120,'800'!$A$7:$AB$188,28,FALSE)))))</f>
        <v>3.0803719753103342</v>
      </c>
      <c r="F120" s="26">
        <f>IF(A120&gt;200,"",IF($C$1='Adj-Mixed'!$A$21,VLOOKUP(A120,'800'!$A$7:$AB$188,7,FALSE),IF($C$1='Adj-Mixed'!$A$20,VLOOKUP(A120,'800'!$A$7:$AB$188,16,FALSE),IF($C$1='Adj-Mixed'!$A$19,VLOOKUP(A120,'800'!$A$7:$AB$188,25,FALSE)))))</f>
        <v>2.982943454612796</v>
      </c>
      <c r="G120" s="26">
        <f t="shared" si="20"/>
        <v>192.02165512650541</v>
      </c>
      <c r="H120" s="1"/>
      <c r="I120" s="127">
        <f t="shared" si="21"/>
        <v>148.62045299129304</v>
      </c>
      <c r="J120" s="25">
        <f>IF(A120&gt;200,"",(C120*'Adj-Mixed'!$C$6))</f>
        <v>1520.1381925247738</v>
      </c>
      <c r="K120" s="26">
        <f>IF(A120&gt;200,"",D120*'Adj-Mixed'!$C$7)</f>
        <v>0.20351506583749093</v>
      </c>
      <c r="L120" s="1">
        <f t="shared" si="22"/>
        <v>4.9136411394648851</v>
      </c>
      <c r="M120" s="26">
        <f t="shared" si="23"/>
        <v>7.4694135604615202</v>
      </c>
      <c r="N120" s="115">
        <f t="shared" si="24"/>
        <v>481.04289288810128</v>
      </c>
    </row>
    <row r="121" spans="1:14" x14ac:dyDescent="0.25">
      <c r="A121" s="22">
        <f t="shared" si="16"/>
        <v>139</v>
      </c>
      <c r="B121" s="27">
        <f>IF(A121&gt;200,"",IF($C$1='Adj-Mixed'!$A$21,VLOOKUP(A121,'800'!$A$6:$AB$188,4,FALSE),IF($C$1='Adj-Mixed'!$A$20,VLOOKUP(A121,'800'!$A$6:$AB$188,13,FALSE),IF($C$1='Adj-Mixed'!$A$19,VLOOKUP(A121,'800'!$A$6:$AB$188,22,FALSE)))))</f>
        <v>94.0255062260768</v>
      </c>
      <c r="C121" s="25">
        <f t="shared" si="17"/>
        <v>965.65201919895571</v>
      </c>
      <c r="D121" s="26">
        <f t="shared" si="18"/>
        <v>0.32274901743474643</v>
      </c>
      <c r="E121" s="26">
        <f>IF(A121&gt;200,"",IF($C$1='Adj-Mixed'!$A$21,VLOOKUP(A121,'800'!$A$7:$AB$188,10,FALSE),IF($C$1='Adj-Mixed'!$A$20,VLOOKUP(A121,'800'!$A$7:$AB$188,19,FALSE),IF($C$1='Adj-Mixed'!$A$19,VLOOKUP(A121,'800'!$A$7:$AB$188,28,FALSE)))))</f>
        <v>3.0983827865631861</v>
      </c>
      <c r="F121" s="26">
        <f>IF(A121&gt;200,"",IF($C$1='Adj-Mixed'!$A$21,VLOOKUP(A121,'800'!$A$7:$AB$188,7,FALSE),IF($C$1='Adj-Mixed'!$A$20,VLOOKUP(A121,'800'!$A$7:$AB$188,16,FALSE),IF($C$1='Adj-Mixed'!$A$19,VLOOKUP(A121,'800'!$A$7:$AB$188,25,FALSE)))))</f>
        <v>2.9955325141468623</v>
      </c>
      <c r="G121" s="26">
        <f t="shared" si="20"/>
        <v>195.01718764065228</v>
      </c>
      <c r="H121" s="1"/>
      <c r="I121" s="127">
        <f t="shared" si="21"/>
        <v>150.13815412596978</v>
      </c>
      <c r="J121" s="25">
        <f>IF(A121&gt;200,"",(C121*'Adj-Mixed'!$C$6))</f>
        <v>1517.701134676731</v>
      </c>
      <c r="K121" s="26">
        <f>IF(A121&gt;200,"",D121*'Adj-Mixed'!$C$7)</f>
        <v>0.20233203853247009</v>
      </c>
      <c r="L121" s="1">
        <f t="shared" si="22"/>
        <v>4.9423710019089278</v>
      </c>
      <c r="M121" s="26">
        <f t="shared" si="23"/>
        <v>7.5010420775905517</v>
      </c>
      <c r="N121" s="115">
        <f t="shared" si="24"/>
        <v>488.54393496569185</v>
      </c>
    </row>
    <row r="122" spans="1:14" x14ac:dyDescent="0.25">
      <c r="A122" s="22">
        <f t="shared" si="16"/>
        <v>140</v>
      </c>
      <c r="B122" s="27">
        <f>IF(A122&gt;200,"",IF($C$1='Adj-Mixed'!$A$21,VLOOKUP(A122,'800'!$A$6:$AB$188,4,FALSE),IF($C$1='Adj-Mixed'!$A$20,VLOOKUP(A122,'800'!$A$6:$AB$188,13,FALSE),IF($C$1='Adj-Mixed'!$A$19,VLOOKUP(A122,'800'!$A$6:$AB$188,22,FALSE)))))</f>
        <v>94.989521776769664</v>
      </c>
      <c r="C122" s="25">
        <f t="shared" si="17"/>
        <v>964.0155506928636</v>
      </c>
      <c r="D122" s="26">
        <f t="shared" si="18"/>
        <v>0.32087739763511358</v>
      </c>
      <c r="E122" s="26">
        <f>IF(A122&gt;200,"",IF($C$1='Adj-Mixed'!$A$21,VLOOKUP(A122,'800'!$A$7:$AB$188,10,FALSE),IF($C$1='Adj-Mixed'!$A$20,VLOOKUP(A122,'800'!$A$7:$AB$188,19,FALSE),IF($C$1='Adj-Mixed'!$A$19,VLOOKUP(A122,'800'!$A$7:$AB$188,28,FALSE)))))</f>
        <v>3.1164550927240819</v>
      </c>
      <c r="F122" s="26">
        <f>IF(A122&gt;200,"",IF($C$1='Adj-Mixed'!$A$21,VLOOKUP(A122,'800'!$A$7:$AB$188,7,FALSE),IF($C$1='Adj-Mixed'!$A$20,VLOOKUP(A122,'800'!$A$7:$AB$188,16,FALSE),IF($C$1='Adj-Mixed'!$A$19,VLOOKUP(A122,'800'!$A$7:$AB$188,25,FALSE)))))</f>
        <v>3.0078553756555788</v>
      </c>
      <c r="G122" s="26">
        <f t="shared" si="20"/>
        <v>198.02504301630785</v>
      </c>
      <c r="H122" s="1"/>
      <c r="I122" s="127">
        <f t="shared" si="21"/>
        <v>151.65328324706482</v>
      </c>
      <c r="J122" s="25">
        <f>IF(A122&gt;200,"",(C122*'Adj-Mixed'!$C$6))</f>
        <v>1515.1291210950487</v>
      </c>
      <c r="K122" s="26">
        <f>IF(A122&gt;200,"",D122*'Adj-Mixed'!$C$7)</f>
        <v>0.2011587161396482</v>
      </c>
      <c r="L122" s="1">
        <f t="shared" si="22"/>
        <v>4.9711989576717173</v>
      </c>
      <c r="M122" s="26">
        <f t="shared" si="23"/>
        <v>7.5320083075257722</v>
      </c>
      <c r="N122" s="115">
        <f t="shared" si="24"/>
        <v>496.0759432732176</v>
      </c>
    </row>
    <row r="123" spans="1:14" x14ac:dyDescent="0.25">
      <c r="A123" s="22">
        <f t="shared" si="16"/>
        <v>141</v>
      </c>
      <c r="B123" s="27">
        <f>IF(A123&gt;200,"",IF($C$1='Adj-Mixed'!$A$21,VLOOKUP(A123,'800'!$A$6:$AB$188,4,FALSE),IF($C$1='Adj-Mixed'!$A$20,VLOOKUP(A123,'800'!$A$6:$AB$188,13,FALSE),IF($C$1='Adj-Mixed'!$A$19,VLOOKUP(A123,'800'!$A$6:$AB$188,22,FALSE)))))</f>
        <v>95.95181687605961</v>
      </c>
      <c r="C123" s="25">
        <f t="shared" si="17"/>
        <v>962.29509928994617</v>
      </c>
      <c r="D123" s="26">
        <f t="shared" si="18"/>
        <v>0.3190207047604115</v>
      </c>
      <c r="E123" s="26">
        <f>IF(A123&gt;200,"",IF($C$1='Adj-Mixed'!$A$21,VLOOKUP(A123,'800'!$A$7:$AB$188,10,FALSE),IF($C$1='Adj-Mixed'!$A$20,VLOOKUP(A123,'800'!$A$7:$AB$188,19,FALSE),IF($C$1='Adj-Mixed'!$A$19,VLOOKUP(A123,'800'!$A$7:$AB$188,28,FALSE)))))</f>
        <v>3.1345927868569294</v>
      </c>
      <c r="F123" s="26">
        <f>IF(A123&gt;200,"",IF($C$1='Adj-Mixed'!$A$21,VLOOKUP(A123,'800'!$A$7:$AB$188,7,FALSE),IF($C$1='Adj-Mixed'!$A$20,VLOOKUP(A123,'800'!$A$7:$AB$188,16,FALSE),IF($C$1='Adj-Mixed'!$A$19,VLOOKUP(A123,'800'!$A$7:$AB$188,25,FALSE)))))</f>
        <v>3.0199168363455344</v>
      </c>
      <c r="G123" s="26">
        <f t="shared" si="20"/>
        <v>201.04495985265339</v>
      </c>
      <c r="H123" s="1"/>
      <c r="I123" s="127">
        <f t="shared" si="21"/>
        <v>153.16570835988935</v>
      </c>
      <c r="J123" s="25">
        <f>IF(A123&gt;200,"",(C123*'Adj-Mixed'!$C$6))</f>
        <v>1512.4251128245228</v>
      </c>
      <c r="K123" s="26">
        <f>IF(A123&gt;200,"",D123*'Adj-Mixed'!$C$7)</f>
        <v>0.19999475146749196</v>
      </c>
      <c r="L123" s="1">
        <f t="shared" si="22"/>
        <v>5.000131216756178</v>
      </c>
      <c r="M123" s="26">
        <f t="shared" si="23"/>
        <v>7.5623240196398811</v>
      </c>
      <c r="N123" s="115">
        <f t="shared" si="24"/>
        <v>503.63826729285751</v>
      </c>
    </row>
    <row r="124" spans="1:14" x14ac:dyDescent="0.25">
      <c r="A124" s="22">
        <f t="shared" si="16"/>
        <v>142</v>
      </c>
      <c r="B124" s="27">
        <f>IF(A124&gt;200,"",IF($C$1='Adj-Mixed'!$A$21,VLOOKUP(A124,'800'!$A$6:$AB$188,4,FALSE),IF($C$1='Adj-Mixed'!$A$20,VLOOKUP(A124,'800'!$A$6:$AB$188,13,FALSE),IF($C$1='Adj-Mixed'!$A$19,VLOOKUP(A124,'800'!$A$6:$AB$188,22,FALSE)))))</f>
        <v>96.912309415003676</v>
      </c>
      <c r="C124" s="25">
        <f t="shared" si="17"/>
        <v>960.49253894406661</v>
      </c>
      <c r="D124" s="26">
        <f t="shared" si="18"/>
        <v>0.31717841038114175</v>
      </c>
      <c r="E124" s="26">
        <f>IF(A124&gt;200,"",IF($C$1='Adj-Mixed'!$A$21,VLOOKUP(A124,'800'!$A$7:$AB$188,10,FALSE),IF($C$1='Adj-Mixed'!$A$20,VLOOKUP(A124,'800'!$A$7:$AB$188,19,FALSE),IF($C$1='Adj-Mixed'!$A$19,VLOOKUP(A124,'800'!$A$7:$AB$188,28,FALSE)))))</f>
        <v>3.1527997091552873</v>
      </c>
      <c r="F124" s="26">
        <f>IF(A124&gt;200,"",IF($C$1='Adj-Mixed'!$A$21,VLOOKUP(A124,'800'!$A$7:$AB$188,7,FALSE),IF($C$1='Adj-Mixed'!$A$20,VLOOKUP(A124,'800'!$A$7:$AB$188,16,FALSE),IF($C$1='Adj-Mixed'!$A$19,VLOOKUP(A124,'800'!$A$7:$AB$188,25,FALSE)))))</f>
        <v>3.0317216859854867</v>
      </c>
      <c r="G124" s="26">
        <f t="shared" si="20"/>
        <v>204.07668153863887</v>
      </c>
      <c r="H124" s="1"/>
      <c r="I124" s="127">
        <f t="shared" si="21"/>
        <v>154.67530041502033</v>
      </c>
      <c r="J124" s="25">
        <f>IF(A124&gt;200,"",(C124*'Adj-Mixed'!$C$6))</f>
        <v>1509.5920551309925</v>
      </c>
      <c r="K124" s="26">
        <f>IF(A124&gt;200,"",D124*'Adj-Mixed'!$C$7)</f>
        <v>0.19883981324243624</v>
      </c>
      <c r="L124" s="1">
        <f t="shared" si="22"/>
        <v>5.0291739048293413</v>
      </c>
      <c r="M124" s="26">
        <f t="shared" si="23"/>
        <v>7.5920009706024834</v>
      </c>
      <c r="N124" s="115">
        <f t="shared" si="24"/>
        <v>511.23026826346</v>
      </c>
    </row>
    <row r="125" spans="1:14" x14ac:dyDescent="0.25">
      <c r="A125" s="22">
        <f t="shared" si="16"/>
        <v>143</v>
      </c>
      <c r="B125" s="27">
        <f>IF(A125&gt;200,"",IF($C$1='Adj-Mixed'!$A$21,VLOOKUP(A125,'800'!$A$6:$AB$188,4,FALSE),IF($C$1='Adj-Mixed'!$A$20,VLOOKUP(A125,'800'!$A$6:$AB$188,13,FALSE),IF($C$1='Adj-Mixed'!$A$19,VLOOKUP(A125,'800'!$A$6:$AB$188,22,FALSE)))))</f>
        <v>97.870919147764312</v>
      </c>
      <c r="C125" s="25">
        <f t="shared" si="17"/>
        <v>958.60973276063532</v>
      </c>
      <c r="D125" s="26">
        <f t="shared" si="18"/>
        <v>0.31535001057892992</v>
      </c>
      <c r="E125" s="26">
        <f>IF(A125&gt;200,"",IF($C$1='Adj-Mixed'!$A$21,VLOOKUP(A125,'800'!$A$7:$AB$188,10,FALSE),IF($C$1='Adj-Mixed'!$A$20,VLOOKUP(A125,'800'!$A$7:$AB$188,19,FALSE),IF($C$1='Adj-Mixed'!$A$19,VLOOKUP(A125,'800'!$A$7:$AB$188,28,FALSE)))))</f>
        <v>3.1710796462767421</v>
      </c>
      <c r="F125" s="26">
        <f>IF(A125&gt;200,"",IF($C$1='Adj-Mixed'!$A$21,VLOOKUP(A125,'800'!$A$7:$AB$188,7,FALSE),IF($C$1='Adj-Mixed'!$A$20,VLOOKUP(A125,'800'!$A$7:$AB$188,16,FALSE),IF($C$1='Adj-Mixed'!$A$19,VLOOKUP(A125,'800'!$A$7:$AB$188,25,FALSE)))))</f>
        <v>3.0432747011305614</v>
      </c>
      <c r="G125" s="26">
        <f t="shared" si="20"/>
        <v>207.11995623976944</v>
      </c>
      <c r="H125" s="1"/>
      <c r="I125" s="127">
        <f t="shared" si="21"/>
        <v>156.18193329125026</v>
      </c>
      <c r="J125" s="25">
        <f>IF(A125&gt;200,"",(C125*'Adj-Mixed'!$C$6))</f>
        <v>1506.6328762299424</v>
      </c>
      <c r="K125" s="26">
        <f>IF(A125&gt;200,"",D125*'Adj-Mixed'!$C$7)</f>
        <v>0.19769358555699124</v>
      </c>
      <c r="L125" s="1">
        <f t="shared" si="22"/>
        <v>5.05833306216058</v>
      </c>
      <c r="M125" s="26">
        <f t="shared" si="23"/>
        <v>7.6210508903720058</v>
      </c>
      <c r="N125" s="115">
        <f t="shared" si="24"/>
        <v>518.85131915383204</v>
      </c>
    </row>
    <row r="126" spans="1:14" x14ac:dyDescent="0.25">
      <c r="A126" s="22">
        <f t="shared" si="16"/>
        <v>144</v>
      </c>
      <c r="B126" s="27">
        <f>IF(A126&gt;200,"",IF($C$1='Adj-Mixed'!$A$21,VLOOKUP(A126,'800'!$A$6:$AB$188,4,FALSE),IF($C$1='Adj-Mixed'!$A$20,VLOOKUP(A126,'800'!$A$6:$AB$188,13,FALSE),IF($C$1='Adj-Mixed'!$A$19,VLOOKUP(A126,'800'!$A$6:$AB$188,22,FALSE)))))</f>
        <v>98.827567679985407</v>
      </c>
      <c r="C126" s="25">
        <f t="shared" si="17"/>
        <v>956.64853222109514</v>
      </c>
      <c r="D126" s="26">
        <f t="shared" si="18"/>
        <v>0.31353502508924386</v>
      </c>
      <c r="E126" s="26">
        <f>IF(A126&gt;200,"",IF($C$1='Adj-Mixed'!$A$21,VLOOKUP(A126,'800'!$A$7:$AB$188,10,FALSE),IF($C$1='Adj-Mixed'!$A$20,VLOOKUP(A126,'800'!$A$7:$AB$188,19,FALSE),IF($C$1='Adj-Mixed'!$A$19,VLOOKUP(A126,'800'!$A$7:$AB$188,28,FALSE)))))</f>
        <v>3.1894363308066218</v>
      </c>
      <c r="F126" s="26">
        <f>IF(A126&gt;200,"",IF($C$1='Adj-Mixed'!$A$21,VLOOKUP(A126,'800'!$A$7:$AB$188,7,FALSE),IF($C$1='Adj-Mixed'!$A$20,VLOOKUP(A126,'800'!$A$7:$AB$188,16,FALSE),IF($C$1='Adj-Mixed'!$A$19,VLOOKUP(A126,'800'!$A$7:$AB$188,25,FALSE)))))</f>
        <v>3.0545806397157378</v>
      </c>
      <c r="G126" s="26">
        <f t="shared" si="20"/>
        <v>210.17453687948517</v>
      </c>
      <c r="H126" s="1"/>
      <c r="I126" s="127">
        <f t="shared" si="21"/>
        <v>157.6854837773179</v>
      </c>
      <c r="J126" s="25">
        <f>IF(A126&gt;200,"",(C126*'Adj-Mixed'!$C$6))</f>
        <v>1503.5504860676374</v>
      </c>
      <c r="K126" s="26">
        <f>IF(A126&gt;200,"",D126*'Adj-Mixed'!$C$7)</f>
        <v>0.19655576733231056</v>
      </c>
      <c r="L126" s="1">
        <f t="shared" si="22"/>
        <v>5.0876146427661517</v>
      </c>
      <c r="M126" s="26">
        <f t="shared" si="23"/>
        <v>7.6494854690558771</v>
      </c>
      <c r="N126" s="115">
        <f t="shared" si="24"/>
        <v>526.50080462288793</v>
      </c>
    </row>
    <row r="127" spans="1:14" x14ac:dyDescent="0.25">
      <c r="A127" s="22">
        <f t="shared" si="16"/>
        <v>145</v>
      </c>
      <c r="B127" s="27">
        <f>IF(A127&gt;200,"",IF($C$1='Adj-Mixed'!$A$21,VLOOKUP(A127,'800'!$A$6:$AB$188,4,FALSE),IF($C$1='Adj-Mixed'!$A$20,VLOOKUP(A127,'800'!$A$6:$AB$188,13,FALSE),IF($C$1='Adj-Mixed'!$A$19,VLOOKUP(A127,'800'!$A$6:$AB$188,22,FALSE)))))</f>
        <v>99.782178456428284</v>
      </c>
      <c r="C127" s="25">
        <f t="shared" si="17"/>
        <v>954.61077644287684</v>
      </c>
      <c r="D127" s="26">
        <f t="shared" si="18"/>
        <v>0.3117329964669871</v>
      </c>
      <c r="E127" s="26">
        <f>IF(A127&gt;200,"",IF($C$1='Adj-Mixed'!$A$21,VLOOKUP(A127,'800'!$A$7:$AB$188,10,FALSE),IF($C$1='Adj-Mixed'!$A$20,VLOOKUP(A127,'800'!$A$7:$AB$188,19,FALSE),IF($C$1='Adj-Mixed'!$A$19,VLOOKUP(A127,'800'!$A$7:$AB$188,28,FALSE)))))</f>
        <v>3.2078734408402649</v>
      </c>
      <c r="F127" s="26">
        <f>IF(A127&gt;200,"",IF($C$1='Adj-Mixed'!$A$21,VLOOKUP(A127,'800'!$A$7:$AB$188,7,FALSE),IF($C$1='Adj-Mixed'!$A$20,VLOOKUP(A127,'800'!$A$7:$AB$188,16,FALSE),IF($C$1='Adj-Mixed'!$A$19,VLOOKUP(A127,'800'!$A$7:$AB$188,25,FALSE)))))</f>
        <v>3.0656442360076781</v>
      </c>
      <c r="G127" s="26">
        <f t="shared" si="20"/>
        <v>213.24018111549285</v>
      </c>
      <c r="H127" s="1"/>
      <c r="I127" s="127">
        <f t="shared" si="21"/>
        <v>159.18583155247592</v>
      </c>
      <c r="J127" s="25">
        <f>IF(A127&gt;200,"",(C127*'Adj-Mixed'!$C$6))</f>
        <v>1500.3477751580062</v>
      </c>
      <c r="K127" s="26">
        <f>IF(A127&gt;200,"",D127*'Adj-Mixed'!$C$7)</f>
        <v>0.19542607179510019</v>
      </c>
      <c r="L127" s="1">
        <f t="shared" si="22"/>
        <v>5.1170245137428614</v>
      </c>
      <c r="M127" s="26">
        <f t="shared" si="23"/>
        <v>7.6773163446230805</v>
      </c>
      <c r="N127" s="115">
        <f t="shared" si="24"/>
        <v>534.17812096751106</v>
      </c>
    </row>
    <row r="128" spans="1:14" x14ac:dyDescent="0.25">
      <c r="A128" s="22">
        <f t="shared" si="16"/>
        <v>146</v>
      </c>
      <c r="B128" s="27">
        <f>IF(A128&gt;200,"",IF($C$1='Adj-Mixed'!$A$21,VLOOKUP(A128,'800'!$A$6:$AB$188,4,FALSE),IF($C$1='Adj-Mixed'!$A$20,VLOOKUP(A128,'800'!$A$6:$AB$188,13,FALSE),IF($C$1='Adj-Mixed'!$A$19,VLOOKUP(A128,'800'!$A$6:$AB$188,22,FALSE)))))</f>
        <v>100.73467674790049</v>
      </c>
      <c r="C128" s="25">
        <f t="shared" si="17"/>
        <v>952.49829147221021</v>
      </c>
      <c r="D128" s="26">
        <f t="shared" si="18"/>
        <v>0.30994348927395138</v>
      </c>
      <c r="E128" s="26">
        <f>IF(A128&gt;200,"",IF($C$1='Adj-Mixed'!$A$21,VLOOKUP(A128,'800'!$A$7:$AB$188,10,FALSE),IF($C$1='Adj-Mixed'!$A$20,VLOOKUP(A128,'800'!$A$7:$AB$188,19,FALSE),IF($C$1='Adj-Mixed'!$A$19,VLOOKUP(A128,'800'!$A$7:$AB$188,28,FALSE)))))</f>
        <v>3.2263945996817656</v>
      </c>
      <c r="F128" s="26">
        <f>IF(A128&gt;200,"",IF($C$1='Adj-Mixed'!$A$21,VLOOKUP(A128,'800'!$A$7:$AB$188,7,FALSE),IF($C$1='Adj-Mixed'!$A$20,VLOOKUP(A128,'800'!$A$7:$AB$188,16,FALSE),IF($C$1='Adj-Mixed'!$A$19,VLOOKUP(A128,'800'!$A$7:$AB$188,25,FALSE)))))</f>
        <v>3.0764701959035583</v>
      </c>
      <c r="G128" s="26">
        <f t="shared" si="20"/>
        <v>216.31665131139641</v>
      </c>
      <c r="H128" s="1"/>
      <c r="I128" s="127">
        <f t="shared" si="21"/>
        <v>160.68285916594709</v>
      </c>
      <c r="J128" s="25">
        <f>IF(A128&gt;200,"",(C128*'Adj-Mixed'!$C$6))</f>
        <v>1497.0276134711619</v>
      </c>
      <c r="K128" s="26">
        <f>IF(A128&gt;200,"",D128*'Adj-Mixed'!$C$7)</f>
        <v>0.19430422596823058</v>
      </c>
      <c r="L128" s="1">
        <f t="shared" si="22"/>
        <v>5.1465684547875119</v>
      </c>
      <c r="M128" s="26">
        <f t="shared" si="23"/>
        <v>7.7045550914365153</v>
      </c>
      <c r="N128" s="115">
        <f t="shared" si="24"/>
        <v>541.8826760589476</v>
      </c>
    </row>
    <row r="129" spans="1:14" x14ac:dyDescent="0.25">
      <c r="A129" s="22">
        <f t="shared" si="16"/>
        <v>147</v>
      </c>
      <c r="B129" s="27">
        <f>IF(A129&gt;200,"",IF($C$1='Adj-Mixed'!$A$21,VLOOKUP(A129,'800'!$A$6:$AB$188,4,FALSE),IF($C$1='Adj-Mixed'!$A$20,VLOOKUP(A129,'800'!$A$6:$AB$188,13,FALSE),IF($C$1='Adj-Mixed'!$A$19,VLOOKUP(A129,'800'!$A$6:$AB$188,22,FALSE)))))</f>
        <v>101.68498963751159</v>
      </c>
      <c r="C129" s="25">
        <f t="shared" si="17"/>
        <v>950.31288961109794</v>
      </c>
      <c r="D129" s="26">
        <f t="shared" si="18"/>
        <v>0.30816608928812544</v>
      </c>
      <c r="E129" s="26">
        <f>IF(A129&gt;200,"",IF($C$1='Adj-Mixed'!$A$21,VLOOKUP(A129,'800'!$A$7:$AB$188,10,FALSE),IF($C$1='Adj-Mixed'!$A$20,VLOOKUP(A129,'800'!$A$7:$AB$188,19,FALSE),IF($C$1='Adj-Mixed'!$A$19,VLOOKUP(A129,'800'!$A$7:$AB$188,28,FALSE)))))</f>
        <v>3.2450033756473187</v>
      </c>
      <c r="F129" s="26">
        <f>IF(A129&gt;200,"",IF($C$1='Adj-Mixed'!$A$21,VLOOKUP(A129,'800'!$A$7:$AB$188,7,FALSE),IF($C$1='Adj-Mixed'!$A$20,VLOOKUP(A129,'800'!$A$7:$AB$188,16,FALSE),IF($C$1='Adj-Mixed'!$A$19,VLOOKUP(A129,'800'!$A$7:$AB$188,25,FALSE)))))</f>
        <v>3.0870631925653296</v>
      </c>
      <c r="G129" s="26">
        <f t="shared" si="20"/>
        <v>219.40371450396174</v>
      </c>
      <c r="H129" s="1"/>
      <c r="I129" s="127">
        <f t="shared" si="21"/>
        <v>162.17645201532272</v>
      </c>
      <c r="J129" s="25">
        <f>IF(A129&gt;200,"",(C129*'Adj-Mixed'!$C$6))</f>
        <v>1493.5928493756171</v>
      </c>
      <c r="K129" s="26">
        <f>IF(A129&gt;200,"",D129*'Adj-Mixed'!$C$7)</f>
        <v>0.1931899701750508</v>
      </c>
      <c r="L129" s="1">
        <f t="shared" si="22"/>
        <v>5.1762521578832121</v>
      </c>
      <c r="M129" s="26">
        <f t="shared" si="23"/>
        <v>7.7312132095794732</v>
      </c>
      <c r="N129" s="115">
        <f t="shared" si="24"/>
        <v>549.61388926852703</v>
      </c>
    </row>
    <row r="130" spans="1:14" x14ac:dyDescent="0.25">
      <c r="A130" s="22">
        <f t="shared" si="16"/>
        <v>148</v>
      </c>
      <c r="B130" s="27">
        <f>IF(A130&gt;200,"",IF($C$1='Adj-Mixed'!$A$21,VLOOKUP(A130,'800'!$A$6:$AB$188,4,FALSE),IF($C$1='Adj-Mixed'!$A$20,VLOOKUP(A130,'800'!$A$6:$AB$188,13,FALSE),IF($C$1='Adj-Mixed'!$A$19,VLOOKUP(A130,'800'!$A$6:$AB$188,22,FALSE)))))</f>
        <v>102.63304600628786</v>
      </c>
      <c r="C130" s="25">
        <f t="shared" si="17"/>
        <v>948.05636877626398</v>
      </c>
      <c r="D130" s="26">
        <f t="shared" si="18"/>
        <v>0.30640040273368696</v>
      </c>
      <c r="E130" s="26">
        <f>IF(A130&gt;200,"",IF($C$1='Adj-Mixed'!$A$21,VLOOKUP(A130,'800'!$A$7:$AB$188,10,FALSE),IF($C$1='Adj-Mixed'!$A$20,VLOOKUP(A130,'800'!$A$7:$AB$188,19,FALSE),IF($C$1='Adj-Mixed'!$A$19,VLOOKUP(A130,'800'!$A$7:$AB$188,28,FALSE)))))</f>
        <v>3.263703281973708</v>
      </c>
      <c r="F130" s="26">
        <f>IF(A130&gt;200,"",IF($C$1='Adj-Mixed'!$A$21,VLOOKUP(A130,'800'!$A$7:$AB$188,7,FALSE),IF($C$1='Adj-Mixed'!$A$20,VLOOKUP(A130,'800'!$A$7:$AB$188,16,FALSE),IF($C$1='Adj-Mixed'!$A$19,VLOOKUP(A130,'800'!$A$7:$AB$188,25,FALSE)))))</f>
        <v>3.0974278623775682</v>
      </c>
      <c r="G130" s="26">
        <f t="shared" si="20"/>
        <v>222.50114236633931</v>
      </c>
      <c r="H130" s="1"/>
      <c r="I130" s="127">
        <f t="shared" si="21"/>
        <v>163.66649832395348</v>
      </c>
      <c r="J130" s="25">
        <f>IF(A130&gt;200,"",(C130*'Adj-Mixed'!$C$6))</f>
        <v>1490.0463086307534</v>
      </c>
      <c r="K130" s="26">
        <f>IF(A130&gt;200,"",D130*'Adj-Mixed'!$C$7)</f>
        <v>0.1920830575566688</v>
      </c>
      <c r="L130" s="1">
        <f t="shared" si="22"/>
        <v>5.2060812271534029</v>
      </c>
      <c r="M130" s="26">
        <f t="shared" si="23"/>
        <v>7.7573021149517905</v>
      </c>
      <c r="N130" s="115">
        <f t="shared" si="24"/>
        <v>557.37119138347884</v>
      </c>
    </row>
    <row r="131" spans="1:14" x14ac:dyDescent="0.25">
      <c r="A131" s="22">
        <f t="shared" si="16"/>
        <v>149</v>
      </c>
      <c r="B131" s="27">
        <f>IF(A131&gt;200,"",IF($C$1='Adj-Mixed'!$A$21,VLOOKUP(A131,'800'!$A$6:$AB$188,4,FALSE),IF($C$1='Adj-Mixed'!$A$20,VLOOKUP(A131,'800'!$A$6:$AB$188,13,FALSE),IF($C$1='Adj-Mixed'!$A$19,VLOOKUP(A131,'800'!$A$6:$AB$188,22,FALSE)))))</f>
        <v>103.57877651817891</v>
      </c>
      <c r="C131" s="25">
        <f t="shared" si="17"/>
        <v>945.73051189105684</v>
      </c>
      <c r="D131" s="26">
        <f t="shared" si="18"/>
        <v>0.30464605553183804</v>
      </c>
      <c r="E131" s="26">
        <f>IF(A131&gt;200,"",IF($C$1='Adj-Mixed'!$A$21,VLOOKUP(A131,'800'!$A$7:$AB$188,10,FALSE),IF($C$1='Adj-Mixed'!$A$20,VLOOKUP(A131,'800'!$A$7:$AB$188,19,FALSE),IF($C$1='Adj-Mixed'!$A$19,VLOOKUP(A131,'800'!$A$7:$AB$188,28,FALSE)))))</f>
        <v>3.2824977768192101</v>
      </c>
      <c r="F131" s="26">
        <f>IF(A131&gt;200,"",IF($C$1='Adj-Mixed'!$A$21,VLOOKUP(A131,'800'!$A$7:$AB$188,7,FALSE),IF($C$1='Adj-Mixed'!$A$20,VLOOKUP(A131,'800'!$A$7:$AB$188,16,FALSE),IF($C$1='Adj-Mixed'!$A$19,VLOOKUP(A131,'800'!$A$7:$AB$188,25,FALSE)))))</f>
        <v>3.1075688012169689</v>
      </c>
      <c r="G131" s="26">
        <f t="shared" si="20"/>
        <v>225.60871116755627</v>
      </c>
      <c r="H131" s="1"/>
      <c r="I131" s="127">
        <f t="shared" si="21"/>
        <v>165.15288911738455</v>
      </c>
      <c r="J131" s="25">
        <f>IF(A131&gt;200,"",(C131*'Adj-Mixed'!$C$6))</f>
        <v>1486.3907934310826</v>
      </c>
      <c r="K131" s="26">
        <f>IF(A131&gt;200,"",D131*'Adj-Mixed'!$C$7)</f>
        <v>0.19098325360229862</v>
      </c>
      <c r="L131" s="1">
        <f t="shared" si="22"/>
        <v>5.2360611788632987</v>
      </c>
      <c r="M131" s="26">
        <f t="shared" si="23"/>
        <v>7.782833130104307</v>
      </c>
      <c r="N131" s="115">
        <f t="shared" si="24"/>
        <v>565.15402451358318</v>
      </c>
    </row>
    <row r="132" spans="1:14" x14ac:dyDescent="0.25">
      <c r="A132" s="22">
        <f t="shared" si="16"/>
        <v>150</v>
      </c>
      <c r="B132" s="27">
        <f>IF(A132&gt;200,"",IF($C$1='Adj-Mixed'!$A$21,VLOOKUP(A132,'800'!$A$6:$AB$188,4,FALSE),IF($C$1='Adj-Mixed'!$A$20,VLOOKUP(A132,'800'!$A$6:$AB$188,13,FALSE),IF($C$1='Adj-Mixed'!$A$19,VLOOKUP(A132,'800'!$A$6:$AB$188,22,FALSE)))))</f>
        <v>104.5221136044876</v>
      </c>
      <c r="C132" s="25">
        <f t="shared" si="17"/>
        <v>943.33708630868784</v>
      </c>
      <c r="D132" s="26">
        <f t="shared" si="18"/>
        <v>0.30290269257170238</v>
      </c>
      <c r="E132" s="26">
        <f>IF(A132&gt;200,"",IF($C$1='Adj-Mixed'!$A$21,VLOOKUP(A132,'800'!$A$7:$AB$188,10,FALSE),IF($C$1='Adj-Mixed'!$A$20,VLOOKUP(A132,'800'!$A$7:$AB$188,19,FALSE),IF($C$1='Adj-Mixed'!$A$19,VLOOKUP(A132,'800'!$A$7:$AB$188,28,FALSE)))))</f>
        <v>3.3013902633542367</v>
      </c>
      <c r="F132" s="26">
        <f>IF(A132&gt;200,"",IF($C$1='Adj-Mixed'!$A$21,VLOOKUP(A132,'800'!$A$7:$AB$188,7,FALSE),IF($C$1='Adj-Mixed'!$A$20,VLOOKUP(A132,'800'!$A$7:$AB$188,16,FALSE),IF($C$1='Adj-Mixed'!$A$19,VLOOKUP(A132,'800'!$A$7:$AB$188,25,FALSE)))))</f>
        <v>3.1174905610214179</v>
      </c>
      <c r="G132" s="26">
        <f t="shared" si="20"/>
        <v>228.72620172857768</v>
      </c>
      <c r="H132" s="1"/>
      <c r="I132" s="127">
        <f t="shared" ref="I132:I163" si="25">IF(A132&gt;200,"",I131+(J132/1000))</f>
        <v>166.63551819888431</v>
      </c>
      <c r="J132" s="25">
        <f>IF(A132&gt;200,"",(C132*'Adj-Mixed'!$C$6))</f>
        <v>1482.6290814997608</v>
      </c>
      <c r="K132" s="26">
        <f>IF(A132&gt;200,"",D132*'Adj-Mixed'!$C$7)</f>
        <v>0.18989033569218425</v>
      </c>
      <c r="L132" s="1">
        <f t="shared" ref="L132:L163" si="26">IF(A132&gt;200,"",1/K132)</f>
        <v>5.2661974415644748</v>
      </c>
      <c r="M132" s="26">
        <f t="shared" ref="M132:M163" si="27">IF(A132&gt;200,"",(J132/1000)/K132)</f>
        <v>7.8078174757831276</v>
      </c>
      <c r="N132" s="115">
        <f t="shared" si="24"/>
        <v>572.96184198936635</v>
      </c>
    </row>
    <row r="133" spans="1:14" x14ac:dyDescent="0.25">
      <c r="A133" s="22">
        <f t="shared" ref="A133:A185" si="28">A132+1</f>
        <v>151</v>
      </c>
      <c r="B133" s="27">
        <f>IF(A133&gt;200,"",IF($C$1='Adj-Mixed'!$A$21,VLOOKUP(A133,'800'!$A$6:$AB$188,4,FALSE),IF($C$1='Adj-Mixed'!$A$20,VLOOKUP(A133,'800'!$A$6:$AB$188,13,FALSE),IF($C$1='Adj-Mixed'!$A$19,VLOOKUP(A133,'800'!$A$6:$AB$188,22,FALSE)))))</f>
        <v>105.46299144775401</v>
      </c>
      <c r="C133" s="25">
        <f t="shared" ref="C133:C185" si="29">IF(A133&gt;200,"",(B133-B132)*1000)</f>
        <v>940.87784326640644</v>
      </c>
      <c r="D133" s="26">
        <f t="shared" ref="D133:D185" si="30">IF(A133&gt;200,"",1/E133)</f>
        <v>0.30116997700068954</v>
      </c>
      <c r="E133" s="26">
        <f>IF(A133&gt;200,"",IF($C$1='Adj-Mixed'!$A$21,VLOOKUP(A133,'800'!$A$7:$AB$188,10,FALSE),IF($C$1='Adj-Mixed'!$A$20,VLOOKUP(A133,'800'!$A$7:$AB$188,19,FALSE),IF($C$1='Adj-Mixed'!$A$19,VLOOKUP(A133,'800'!$A$7:$AB$188,28,FALSE)))))</f>
        <v>3.3203840899377246</v>
      </c>
      <c r="F133" s="26">
        <f>IF(A133&gt;200,"",IF($C$1='Adj-Mixed'!$A$21,VLOOKUP(A133,'800'!$A$7:$AB$188,7,FALSE),IF($C$1='Adj-Mixed'!$A$20,VLOOKUP(A133,'800'!$A$7:$AB$188,16,FALSE),IF($C$1='Adj-Mixed'!$A$19,VLOOKUP(A133,'800'!$A$7:$AB$188,25,FALSE)))))</f>
        <v>3.1271976466465561</v>
      </c>
      <c r="G133" s="26">
        <f t="shared" si="20"/>
        <v>231.85339937522423</v>
      </c>
      <c r="H133" s="1"/>
      <c r="I133" s="127">
        <f t="shared" si="25"/>
        <v>168.11428212411502</v>
      </c>
      <c r="J133" s="25">
        <f>IF(A133&gt;200,"",(C133*'Adj-Mixed'!$C$6))</f>
        <v>1478.7639252307224</v>
      </c>
      <c r="K133" s="26">
        <f>IF(A133&gt;200,"",D133*'Adj-Mixed'!$C$7)</f>
        <v>0.18880409265272755</v>
      </c>
      <c r="L133" s="1">
        <f t="shared" si="26"/>
        <v>5.2964953563762354</v>
      </c>
      <c r="M133" s="26">
        <f t="shared" si="27"/>
        <v>7.8322662631612161</v>
      </c>
      <c r="N133" s="115">
        <f t="shared" ref="N133:N164" si="31">IF(A133&gt;200,"",N132+M133)</f>
        <v>580.79410825252762</v>
      </c>
    </row>
    <row r="134" spans="1:14" x14ac:dyDescent="0.25">
      <c r="A134" s="22">
        <f t="shared" si="28"/>
        <v>152</v>
      </c>
      <c r="B134" s="27">
        <f>IF(A134&gt;200,"",IF($C$1='Adj-Mixed'!$A$21,VLOOKUP(A134,'800'!$A$6:$AB$188,4,FALSE),IF($C$1='Adj-Mixed'!$A$20,VLOOKUP(A134,'800'!$A$6:$AB$188,13,FALSE),IF($C$1='Adj-Mixed'!$A$19,VLOOKUP(A134,'800'!$A$6:$AB$188,22,FALSE)))))</f>
        <v>106.40134596512453</v>
      </c>
      <c r="C134" s="25">
        <f t="shared" si="29"/>
        <v>938.35451737052722</v>
      </c>
      <c r="D134" s="26">
        <f t="shared" si="30"/>
        <v>0.29944758953439005</v>
      </c>
      <c r="E134" s="26">
        <f>IF(A134&gt;200,"",IF($C$1='Adj-Mixed'!$A$21,VLOOKUP(A134,'800'!$A$7:$AB$188,10,FALSE),IF($C$1='Adj-Mixed'!$A$20,VLOOKUP(A134,'800'!$A$7:$AB$188,19,FALSE),IF($C$1='Adj-Mixed'!$A$19,VLOOKUP(A134,'800'!$A$7:$AB$188,28,FALSE)))))</f>
        <v>3.3394825503684844</v>
      </c>
      <c r="F134" s="26">
        <f>IF(A134&gt;200,"",IF($C$1='Adj-Mixed'!$A$21,VLOOKUP(A134,'800'!$A$7:$AB$188,7,FALSE),IF($C$1='Adj-Mixed'!$A$20,VLOOKUP(A134,'800'!$A$7:$AB$188,16,FALSE),IF($C$1='Adj-Mixed'!$A$19,VLOOKUP(A134,'800'!$A$7:$AB$188,25,FALSE)))))</f>
        <v>3.136694512997753</v>
      </c>
      <c r="G134" s="26">
        <f t="shared" ref="G134:G185" si="32">IF(A134&gt;200,"",F134+G133)</f>
        <v>234.99009388822199</v>
      </c>
      <c r="H134" s="1"/>
      <c r="I134" s="127">
        <f t="shared" si="25"/>
        <v>169.58908017499434</v>
      </c>
      <c r="J134" s="25">
        <f>IF(A134&gt;200,"",(C134*'Adj-Mixed'!$C$6))</f>
        <v>1474.7980508793055</v>
      </c>
      <c r="K134" s="26">
        <f>IF(A134&gt;200,"",D134*'Adj-Mixed'!$C$7)</f>
        <v>0.18772432432386002</v>
      </c>
      <c r="L134" s="1">
        <f t="shared" si="26"/>
        <v>5.3269601773865523</v>
      </c>
      <c r="M134" s="26">
        <f t="shared" si="27"/>
        <v>7.8561904867213661</v>
      </c>
      <c r="N134" s="115">
        <f t="shared" si="31"/>
        <v>588.65029873924902</v>
      </c>
    </row>
    <row r="135" spans="1:14" x14ac:dyDescent="0.25">
      <c r="A135" s="22">
        <f t="shared" si="28"/>
        <v>153</v>
      </c>
      <c r="B135" s="27">
        <f>IF(A135&gt;200,"",IF($C$1='Adj-Mixed'!$A$21,VLOOKUP(A135,'800'!$A$6:$AB$188,4,FALSE),IF($C$1='Adj-Mixed'!$A$20,VLOOKUP(A135,'800'!$A$6:$AB$188,13,FALSE),IF($C$1='Adj-Mixed'!$A$19,VLOOKUP(A135,'800'!$A$6:$AB$188,22,FALSE)))))</f>
        <v>107.33711479123549</v>
      </c>
      <c r="C135" s="25">
        <f t="shared" si="29"/>
        <v>935.76882611095868</v>
      </c>
      <c r="D135" s="26">
        <f t="shared" si="30"/>
        <v>0.29773522778513395</v>
      </c>
      <c r="E135" s="26">
        <f>IF(A135&gt;200,"",IF($C$1='Adj-Mixed'!$A$21,VLOOKUP(A135,'800'!$A$7:$AB$188,10,FALSE),IF($C$1='Adj-Mixed'!$A$20,VLOOKUP(A135,'800'!$A$7:$AB$188,19,FALSE),IF($C$1='Adj-Mixed'!$A$19,VLOOKUP(A135,'800'!$A$7:$AB$188,28,FALSE)))))</f>
        <v>3.3586888842111362</v>
      </c>
      <c r="F135" s="26">
        <f>IF(A135&gt;200,"",IF($C$1='Adj-Mixed'!$A$21,VLOOKUP(A135,'800'!$A$7:$AB$188,7,FALSE),IF($C$1='Adj-Mixed'!$A$20,VLOOKUP(A135,'800'!$A$7:$AB$188,16,FALSE),IF($C$1='Adj-Mixed'!$A$19,VLOOKUP(A135,'800'!$A$7:$AB$188,25,FALSE)))))</f>
        <v>3.1459855624254658</v>
      </c>
      <c r="G135" s="26">
        <f t="shared" si="32"/>
        <v>238.13607945064746</v>
      </c>
      <c r="H135" s="1"/>
      <c r="I135" s="127">
        <f t="shared" si="25"/>
        <v>171.05981433279359</v>
      </c>
      <c r="J135" s="25">
        <f>IF(A135&gt;200,"",(C135*'Adj-Mixed'!$C$6))</f>
        <v>1470.7341577992431</v>
      </c>
      <c r="K135" s="26">
        <f>IF(A135&gt;200,"",D135*'Adj-Mixed'!$C$7)</f>
        <v>0.18665084113811473</v>
      </c>
      <c r="L135" s="1">
        <f t="shared" si="26"/>
        <v>5.3575970721719752</v>
      </c>
      <c r="M135" s="26">
        <f t="shared" si="27"/>
        <v>7.8796010177685423</v>
      </c>
      <c r="N135" s="115">
        <f t="shared" si="31"/>
        <v>596.52989975701757</v>
      </c>
    </row>
    <row r="136" spans="1:14" x14ac:dyDescent="0.25">
      <c r="A136" s="22">
        <f t="shared" si="28"/>
        <v>154</v>
      </c>
      <c r="B136" s="27">
        <f>IF(A136&gt;200,"",IF($C$1='Adj-Mixed'!$A$21,VLOOKUP(A136,'800'!$A$6:$AB$188,4,FALSE),IF($C$1='Adj-Mixed'!$A$20,VLOOKUP(A136,'800'!$A$6:$AB$188,13,FALSE),IF($C$1='Adj-Mixed'!$A$19,VLOOKUP(A136,'800'!$A$6:$AB$188,22,FALSE)))))</f>
        <v>108.27023726064081</v>
      </c>
      <c r="C136" s="25">
        <f t="shared" si="29"/>
        <v>933.12246940531907</v>
      </c>
      <c r="D136" s="26">
        <f t="shared" si="30"/>
        <v>0.29603260560911293</v>
      </c>
      <c r="E136" s="26">
        <f>IF(A136&gt;200,"",IF($C$1='Adj-Mixed'!$A$21,VLOOKUP(A136,'800'!$A$7:$AB$188,10,FALSE),IF($C$1='Adj-Mixed'!$A$20,VLOOKUP(A136,'800'!$A$7:$AB$188,19,FALSE),IF($C$1='Adj-Mixed'!$A$19,VLOOKUP(A136,'800'!$A$7:$AB$188,28,FALSE)))))</f>
        <v>3.3780062771883275</v>
      </c>
      <c r="F136" s="26">
        <f>IF(A136&gt;200,"",IF($C$1='Adj-Mixed'!$A$21,VLOOKUP(A136,'800'!$A$7:$AB$188,7,FALSE),IF($C$1='Adj-Mixed'!$A$20,VLOOKUP(A136,'800'!$A$7:$AB$188,16,FALSE),IF($C$1='Adj-Mixed'!$A$19,VLOOKUP(A136,'800'!$A$7:$AB$188,25,FALSE)))))</f>
        <v>3.1550751423720689</v>
      </c>
      <c r="G136" s="26">
        <f t="shared" si="32"/>
        <v>241.29115459301951</v>
      </c>
      <c r="H136" s="1"/>
      <c r="I136" s="127">
        <f t="shared" si="25"/>
        <v>172.52638925051974</v>
      </c>
      <c r="J136" s="25">
        <f>IF(A136&gt;200,"",(C136*'Adj-Mixed'!$C$6))</f>
        <v>1466.5749177261573</v>
      </c>
      <c r="K136" s="26">
        <f>IF(A136&gt;200,"",D136*'Adj-Mixed'!$C$7)</f>
        <v>0.18558346371133583</v>
      </c>
      <c r="L136" s="1">
        <f t="shared" si="26"/>
        <v>5.3884111224232845</v>
      </c>
      <c r="M136" s="26">
        <f t="shared" si="27"/>
        <v>7.9025085985426395</v>
      </c>
      <c r="N136" s="115">
        <f t="shared" si="31"/>
        <v>604.43240835556026</v>
      </c>
    </row>
    <row r="137" spans="1:14" x14ac:dyDescent="0.25">
      <c r="A137" s="22">
        <f t="shared" si="28"/>
        <v>155</v>
      </c>
      <c r="B137" s="27">
        <f>IF(A137&gt;200,"",IF($C$1='Adj-Mixed'!$A$21,VLOOKUP(A137,'800'!$A$6:$AB$188,4,FALSE),IF($C$1='Adj-Mixed'!$A$20,VLOOKUP(A137,'800'!$A$6:$AB$188,13,FALSE),IF($C$1='Adj-Mixed'!$A$19,VLOOKUP(A137,'800'!$A$6:$AB$188,22,FALSE)))))</f>
        <v>109.200654389812</v>
      </c>
      <c r="C137" s="25">
        <f t="shared" si="29"/>
        <v>930.41712917118957</v>
      </c>
      <c r="D137" s="26">
        <f t="shared" si="30"/>
        <v>0.29433945247157783</v>
      </c>
      <c r="E137" s="26">
        <f>IF(A137&gt;200,"",IF($C$1='Adj-Mixed'!$A$21,VLOOKUP(A137,'800'!$A$7:$AB$188,10,FALSE),IF($C$1='Adj-Mixed'!$A$20,VLOOKUP(A137,'800'!$A$7:$AB$188,19,FALSE),IF($C$1='Adj-Mixed'!$A$19,VLOOKUP(A137,'800'!$A$7:$AB$188,28,FALSE)))))</f>
        <v>3.3974378616354959</v>
      </c>
      <c r="F137" s="26">
        <f>IF(A137&gt;200,"",IF($C$1='Adj-Mixed'!$A$21,VLOOKUP(A137,'800'!$A$7:$AB$188,7,FALSE),IF($C$1='Adj-Mixed'!$A$20,VLOOKUP(A137,'800'!$A$7:$AB$188,16,FALSE),IF($C$1='Adj-Mixed'!$A$19,VLOOKUP(A137,'800'!$A$7:$AB$188,25,FALSE)))))</f>
        <v>3.1639675432583623</v>
      </c>
      <c r="G137" s="26">
        <f t="shared" si="32"/>
        <v>244.45512213627788</v>
      </c>
      <c r="H137" s="1"/>
      <c r="I137" s="127">
        <f t="shared" si="25"/>
        <v>173.988712224625</v>
      </c>
      <c r="J137" s="25">
        <f>IF(A137&gt;200,"",(C137*'Adj-Mixed'!$C$6))</f>
        <v>1462.3229741052751</v>
      </c>
      <c r="K137" s="26">
        <f>IF(A137&gt;200,"",D137*'Adj-Mixed'!$C$7)</f>
        <v>0.18452202244471946</v>
      </c>
      <c r="L137" s="1">
        <f t="shared" si="26"/>
        <v>5.4194073246708951</v>
      </c>
      <c r="M137" s="26">
        <f t="shared" si="27"/>
        <v>7.9249238369006552</v>
      </c>
      <c r="N137" s="115">
        <f t="shared" si="31"/>
        <v>612.35733219246094</v>
      </c>
    </row>
    <row r="138" spans="1:14" x14ac:dyDescent="0.25">
      <c r="A138" s="22">
        <f t="shared" si="28"/>
        <v>156</v>
      </c>
      <c r="B138" s="27">
        <f>IF(A138&gt;200,"",IF($C$1='Adj-Mixed'!$A$21,VLOOKUP(A138,'800'!$A$6:$AB$188,4,FALSE),IF($C$1='Adj-Mixed'!$A$20,VLOOKUP(A138,'800'!$A$6:$AB$188,13,FALSE),IF($C$1='Adj-Mixed'!$A$19,VLOOKUP(A138,'800'!$A$6:$AB$188,22,FALSE)))))</f>
        <v>110.12830885873856</v>
      </c>
      <c r="C138" s="25">
        <f t="shared" si="29"/>
        <v>927.654468926562</v>
      </c>
      <c r="D138" s="26">
        <f t="shared" si="30"/>
        <v>0.29265551282978369</v>
      </c>
      <c r="E138" s="26">
        <f>IF(A138&gt;200,"",IF($C$1='Adj-Mixed'!$A$21,VLOOKUP(A138,'800'!$A$7:$AB$188,10,FALSE),IF($C$1='Adj-Mixed'!$A$20,VLOOKUP(A138,'800'!$A$7:$AB$188,19,FALSE),IF($C$1='Adj-Mixed'!$A$19,VLOOKUP(A138,'800'!$A$7:$AB$188,28,FALSE)))))</f>
        <v>3.416986717013005</v>
      </c>
      <c r="F138" s="26">
        <f>IF(A138&gt;200,"",IF($C$1='Adj-Mixed'!$A$21,VLOOKUP(A138,'800'!$A$7:$AB$188,7,FALSE),IF($C$1='Adj-Mixed'!$A$20,VLOOKUP(A138,'800'!$A$7:$AB$188,16,FALSE),IF($C$1='Adj-Mixed'!$A$19,VLOOKUP(A138,'800'!$A$7:$AB$188,25,FALSE)))))</f>
        <v>3.1726669965981427</v>
      </c>
      <c r="G138" s="26">
        <f t="shared" si="32"/>
        <v>247.62778913287602</v>
      </c>
      <c r="H138" s="1"/>
      <c r="I138" s="127">
        <f t="shared" si="25"/>
        <v>175.44669316608847</v>
      </c>
      <c r="J138" s="25">
        <f>IF(A138&gt;200,"",(C138*'Adj-Mixed'!$C$6))</f>
        <v>1457.980941463459</v>
      </c>
      <c r="K138" s="26">
        <f>IF(A138&gt;200,"",D138*'Adj-Mixed'!$C$7)</f>
        <v>0.18346635713798082</v>
      </c>
      <c r="L138" s="1">
        <f t="shared" si="26"/>
        <v>5.450590591101796</v>
      </c>
      <c r="M138" s="26">
        <f t="shared" si="27"/>
        <v>7.9468572015464671</v>
      </c>
      <c r="N138" s="115">
        <f t="shared" si="31"/>
        <v>620.30418939400738</v>
      </c>
    </row>
    <row r="139" spans="1:14" x14ac:dyDescent="0.25">
      <c r="A139" s="22">
        <f t="shared" si="28"/>
        <v>157</v>
      </c>
      <c r="B139" s="27">
        <f>IF(A139&gt;200,"",IF($C$1='Adj-Mixed'!$A$21,VLOOKUP(A139,'800'!$A$6:$AB$188,4,FALSE),IF($C$1='Adj-Mixed'!$A$20,VLOOKUP(A139,'800'!$A$6:$AB$188,13,FALSE),IF($C$1='Adj-Mixed'!$A$19,VLOOKUP(A139,'800'!$A$6:$AB$188,22,FALSE)))))</f>
        <v>111.05314499215638</v>
      </c>
      <c r="C139" s="25">
        <f t="shared" si="29"/>
        <v>924.83613341781279</v>
      </c>
      <c r="D139" s="26">
        <f t="shared" si="30"/>
        <v>0.29098054553344155</v>
      </c>
      <c r="E139" s="26">
        <f>IF(A139&gt;200,"",IF($C$1='Adj-Mixed'!$A$21,VLOOKUP(A139,'800'!$A$7:$AB$188,10,FALSE),IF($C$1='Adj-Mixed'!$A$20,VLOOKUP(A139,'800'!$A$7:$AB$188,19,FALSE),IF($C$1='Adj-Mixed'!$A$19,VLOOKUP(A139,'800'!$A$7:$AB$188,28,FALSE)))))</f>
        <v>3.4366558704697767</v>
      </c>
      <c r="F139" s="26">
        <f>IF(A139&gt;200,"",IF($C$1='Adj-Mixed'!$A$21,VLOOKUP(A139,'800'!$A$7:$AB$188,7,FALSE),IF($C$1='Adj-Mixed'!$A$20,VLOOKUP(A139,'800'!$A$7:$AB$188,16,FALSE),IF($C$1='Adj-Mixed'!$A$19,VLOOKUP(A139,'800'!$A$7:$AB$188,25,FALSE)))))</f>
        <v>3.1811776733294153</v>
      </c>
      <c r="G139" s="26">
        <f t="shared" si="32"/>
        <v>250.80896680620543</v>
      </c>
      <c r="H139" s="1"/>
      <c r="I139" s="127">
        <f t="shared" si="25"/>
        <v>176.90024457091297</v>
      </c>
      <c r="J139" s="25">
        <f>IF(A139&gt;200,"",(C139*'Adj-Mixed'!$C$6))</f>
        <v>1453.5514048244979</v>
      </c>
      <c r="K139" s="26">
        <f>IF(A139&gt;200,"",D139*'Adj-Mixed'!$C$7)</f>
        <v>0.18241631661349605</v>
      </c>
      <c r="L139" s="1">
        <f t="shared" si="26"/>
        <v>5.4819657504586141</v>
      </c>
      <c r="M139" s="26">
        <f t="shared" si="27"/>
        <v>7.9683190177789012</v>
      </c>
      <c r="N139" s="115">
        <f t="shared" si="31"/>
        <v>628.27250841178625</v>
      </c>
    </row>
    <row r="140" spans="1:14" x14ac:dyDescent="0.25">
      <c r="A140" s="22">
        <f t="shared" si="28"/>
        <v>158</v>
      </c>
      <c r="B140" s="27">
        <f>IF(A140&gt;200,"",IF($C$1='Adj-Mixed'!$A$21,VLOOKUP(A140,'800'!$A$6:$AB$188,4,FALSE),IF($C$1='Adj-Mixed'!$A$20,VLOOKUP(A140,'800'!$A$6:$AB$188,13,FALSE),IF($C$1='Adj-Mixed'!$A$19,VLOOKUP(A140,'800'!$A$6:$AB$188,22,FALSE)))))</f>
        <v>111.97510874042993</v>
      </c>
      <c r="C140" s="25">
        <f t="shared" si="29"/>
        <v>921.96374827355498</v>
      </c>
      <c r="D140" s="26">
        <f t="shared" si="30"/>
        <v>0.28931432324209672</v>
      </c>
      <c r="E140" s="26">
        <f>IF(A140&gt;200,"",IF($C$1='Adj-Mixed'!$A$21,VLOOKUP(A140,'800'!$A$7:$AB$188,10,FALSE),IF($C$1='Adj-Mixed'!$A$20,VLOOKUP(A140,'800'!$A$7:$AB$188,19,FALSE),IF($C$1='Adj-Mixed'!$A$19,VLOOKUP(A140,'800'!$A$7:$AB$188,28,FALSE)))))</f>
        <v>3.4564482974567601</v>
      </c>
      <c r="F140" s="26">
        <f>IF(A140&gt;200,"",IF($C$1='Adj-Mixed'!$A$21,VLOOKUP(A140,'800'!$A$7:$AB$188,7,FALSE),IF($C$1='Adj-Mixed'!$A$20,VLOOKUP(A140,'800'!$A$7:$AB$188,16,FALSE),IF($C$1='Adj-Mixed'!$A$19,VLOOKUP(A140,'800'!$A$7:$AB$188,25,FALSE)))))</f>
        <v>3.1895036823510767</v>
      </c>
      <c r="G140" s="26">
        <f t="shared" si="32"/>
        <v>253.99847048855651</v>
      </c>
      <c r="H140" s="1"/>
      <c r="I140" s="127">
        <f t="shared" si="25"/>
        <v>178.34928149007806</v>
      </c>
      <c r="J140" s="25">
        <f>IF(A140&gt;200,"",(C140*'Adj-Mixed'!$C$6))</f>
        <v>1449.0369191650727</v>
      </c>
      <c r="K140" s="26">
        <f>IF(A140&gt;200,"",D140*'Adj-Mixed'!$C$7)</f>
        <v>0.18137175835105546</v>
      </c>
      <c r="L140" s="1">
        <f t="shared" si="26"/>
        <v>5.5135375490182028</v>
      </c>
      <c r="M140" s="26">
        <f t="shared" si="27"/>
        <v>7.9893194637302818</v>
      </c>
      <c r="N140" s="115">
        <f t="shared" si="31"/>
        <v>636.26182787551647</v>
      </c>
    </row>
    <row r="141" spans="1:14" x14ac:dyDescent="0.25">
      <c r="A141" s="22">
        <f t="shared" si="28"/>
        <v>159</v>
      </c>
      <c r="B141" s="27">
        <f>IF(A141&gt;200,"",IF($C$1='Adj-Mixed'!$A$21,VLOOKUP(A141,'800'!$A$6:$AB$188,4,FALSE),IF($C$1='Adj-Mixed'!$A$20,VLOOKUP(A141,'800'!$A$6:$AB$188,13,FALSE),IF($C$1='Adj-Mixed'!$A$19,VLOOKUP(A141,'800'!$A$6:$AB$188,22,FALSE)))))</f>
        <v>112.89414766011504</v>
      </c>
      <c r="C141" s="25">
        <f t="shared" si="29"/>
        <v>919.0389196851072</v>
      </c>
      <c r="D141" s="26">
        <f t="shared" si="30"/>
        <v>0.28765663185937684</v>
      </c>
      <c r="E141" s="26">
        <f>IF(A141&gt;200,"",IF($C$1='Adj-Mixed'!$A$21,VLOOKUP(A141,'800'!$A$7:$AB$188,10,FALSE),IF($C$1='Adj-Mixed'!$A$20,VLOOKUP(A141,'800'!$A$7:$AB$188,19,FALSE),IF($C$1='Adj-Mixed'!$A$19,VLOOKUP(A141,'800'!$A$7:$AB$188,28,FALSE)))))</f>
        <v>3.4763669223828555</v>
      </c>
      <c r="F141" s="26">
        <f>IF(A141&gt;200,"",IF($C$1='Adj-Mixed'!$A$21,VLOOKUP(A141,'800'!$A$7:$AB$188,7,FALSE),IF($C$1='Adj-Mixed'!$A$20,VLOOKUP(A141,'800'!$A$7:$AB$188,16,FALSE),IF($C$1='Adj-Mixed'!$A$19,VLOOKUP(A141,'800'!$A$7:$AB$188,25,FALSE)))))</f>
        <v>3.1976490692540791</v>
      </c>
      <c r="G141" s="26">
        <f t="shared" si="32"/>
        <v>257.19611955781056</v>
      </c>
      <c r="H141" s="1"/>
      <c r="I141" s="127">
        <f t="shared" si="25"/>
        <v>179.79372149899061</v>
      </c>
      <c r="J141" s="25">
        <f>IF(A141&gt;200,"",(C141*'Adj-Mixed'!$C$6))</f>
        <v>1444.4400089125529</v>
      </c>
      <c r="K141" s="26">
        <f>IF(A141&gt;200,"",D141*'Adj-Mixed'!$C$7)</f>
        <v>0.18033254813319249</v>
      </c>
      <c r="L141" s="1">
        <f t="shared" si="26"/>
        <v>5.5453106516379185</v>
      </c>
      <c r="M141" s="26">
        <f t="shared" si="27"/>
        <v>8.0098685670747489</v>
      </c>
      <c r="N141" s="115">
        <f t="shared" si="31"/>
        <v>644.27169644259118</v>
      </c>
    </row>
    <row r="142" spans="1:14" x14ac:dyDescent="0.25">
      <c r="A142" s="22">
        <f t="shared" si="28"/>
        <v>160</v>
      </c>
      <c r="B142" s="27">
        <f>IF(A142&gt;200,"",IF($C$1='Adj-Mixed'!$A$21,VLOOKUP(A142,'800'!$A$6:$AB$188,4,FALSE),IF($C$1='Adj-Mixed'!$A$20,VLOOKUP(A142,'800'!$A$6:$AB$188,13,FALSE),IF($C$1='Adj-Mixed'!$A$19,VLOOKUP(A142,'800'!$A$6:$AB$188,22,FALSE)))))</f>
        <v>113.81021089422691</v>
      </c>
      <c r="C142" s="25">
        <f t="shared" si="29"/>
        <v>916.06323411187418</v>
      </c>
      <c r="D142" s="26">
        <f t="shared" si="30"/>
        <v>0.286007269983648</v>
      </c>
      <c r="E142" s="26">
        <f>IF(A142&gt;200,"",IF($C$1='Adj-Mixed'!$A$21,VLOOKUP(A142,'800'!$A$7:$AB$188,10,FALSE),IF($C$1='Adj-Mixed'!$A$20,VLOOKUP(A142,'800'!$A$7:$AB$188,19,FALSE),IF($C$1='Adj-Mixed'!$A$19,VLOOKUP(A142,'800'!$A$7:$AB$188,28,FALSE)))))</f>
        <v>3.4964146193108077</v>
      </c>
      <c r="F142" s="26">
        <f>IF(A142&gt;200,"",IF($C$1='Adj-Mixed'!$A$21,VLOOKUP(A142,'800'!$A$7:$AB$188,7,FALSE),IF($C$1='Adj-Mixed'!$A$20,VLOOKUP(A142,'800'!$A$7:$AB$188,16,FALSE),IF($C$1='Adj-Mixed'!$A$19,VLOOKUP(A142,'800'!$A$7:$AB$188,25,FALSE)))))</f>
        <v>3.205617815236447</v>
      </c>
      <c r="G142" s="26">
        <f t="shared" si="32"/>
        <v>260.40173737304701</v>
      </c>
      <c r="H142" s="1"/>
      <c r="I142" s="127">
        <f t="shared" si="25"/>
        <v>181.23348466647255</v>
      </c>
      <c r="J142" s="25">
        <f>IF(A142&gt;200,"",(C142*'Adj-Mixed'!$C$6))</f>
        <v>1439.7631674819481</v>
      </c>
      <c r="K142" s="26">
        <f>IF(A142&gt;200,"",D142*'Adj-Mixed'!$C$7)</f>
        <v>0.17929855970079883</v>
      </c>
      <c r="L142" s="1">
        <f t="shared" si="26"/>
        <v>5.5772896428656846</v>
      </c>
      <c r="M142" s="26">
        <f t="shared" si="27"/>
        <v>8.029976202176563</v>
      </c>
      <c r="N142" s="115">
        <f t="shared" si="31"/>
        <v>652.30167264476779</v>
      </c>
    </row>
    <row r="143" spans="1:14" x14ac:dyDescent="0.25">
      <c r="A143" s="22">
        <f t="shared" si="28"/>
        <v>161</v>
      </c>
      <c r="B143" s="27">
        <f>IF(A143&gt;200,"",IF($C$1='Adj-Mixed'!$A$21,VLOOKUP(A143,'800'!$A$6:$AB$188,4,FALSE),IF($C$1='Adj-Mixed'!$A$20,VLOOKUP(A143,'800'!$A$6:$AB$188,13,FALSE),IF($C$1='Adj-Mixed'!$A$19,VLOOKUP(A143,'800'!$A$6:$AB$188,22,FALSE)))))</f>
        <v>114.72324915223822</v>
      </c>
      <c r="C143" s="25">
        <f t="shared" si="29"/>
        <v>913.03825801131211</v>
      </c>
      <c r="D143" s="26">
        <f t="shared" si="30"/>
        <v>0.28436604837478863</v>
      </c>
      <c r="E143" s="26">
        <f>IF(A143&gt;200,"",IF($C$1='Adj-Mixed'!$A$21,VLOOKUP(A143,'800'!$A$7:$AB$188,10,FALSE),IF($C$1='Adj-Mixed'!$A$20,VLOOKUP(A143,'800'!$A$7:$AB$188,19,FALSE),IF($C$1='Adj-Mixed'!$A$19,VLOOKUP(A143,'800'!$A$7:$AB$188,28,FALSE)))))</f>
        <v>3.5165942126889229</v>
      </c>
      <c r="F143" s="26">
        <f>IF(A143&gt;200,"",IF($C$1='Adj-Mixed'!$A$21,VLOOKUP(A143,'800'!$A$7:$AB$188,7,FALSE),IF($C$1='Adj-Mixed'!$A$20,VLOOKUP(A143,'800'!$A$7:$AB$188,16,FALSE),IF($C$1='Adj-Mixed'!$A$19,VLOOKUP(A143,'800'!$A$7:$AB$188,25,FALSE)))))</f>
        <v>3.2134138361917146</v>
      </c>
      <c r="G143" s="26">
        <f t="shared" si="32"/>
        <v>263.61515120923872</v>
      </c>
      <c r="H143" s="1"/>
      <c r="I143" s="127">
        <f t="shared" si="25"/>
        <v>182.66849352332406</v>
      </c>
      <c r="J143" s="25">
        <f>IF(A143&gt;200,"",(C143*'Adj-Mixed'!$C$6))</f>
        <v>1435.0088568514982</v>
      </c>
      <c r="K143" s="26">
        <f>IF(A143&gt;200,"",D143*'Adj-Mixed'!$C$7)</f>
        <v>0.17826967441884378</v>
      </c>
      <c r="L143" s="1">
        <f t="shared" si="26"/>
        <v>5.6094790281071845</v>
      </c>
      <c r="M143" s="26">
        <f t="shared" si="27"/>
        <v>8.0496520876565434</v>
      </c>
      <c r="N143" s="115">
        <f t="shared" si="31"/>
        <v>660.35132473242436</v>
      </c>
    </row>
    <row r="144" spans="1:14" x14ac:dyDescent="0.25">
      <c r="A144" s="22">
        <f t="shared" si="28"/>
        <v>162</v>
      </c>
      <c r="B144" s="27">
        <f>IF(A144&gt;200,"",IF($C$1='Adj-Mixed'!$A$21,VLOOKUP(A144,'800'!$A$6:$AB$188,4,FALSE),IF($C$1='Adj-Mixed'!$A$20,VLOOKUP(A144,'800'!$A$6:$AB$188,13,FALSE),IF($C$1='Adj-Mixed'!$A$19,VLOOKUP(A144,'800'!$A$6:$AB$188,22,FALSE)))))</f>
        <v>115.63321468983111</v>
      </c>
      <c r="C144" s="25">
        <f t="shared" si="29"/>
        <v>909.9655375928819</v>
      </c>
      <c r="D144" s="26">
        <f t="shared" si="30"/>
        <v>0.28273278943680158</v>
      </c>
      <c r="E144" s="26">
        <f>IF(A144&gt;200,"",IF($C$1='Adj-Mixed'!$A$21,VLOOKUP(A144,'800'!$A$7:$AB$188,10,FALSE),IF($C$1='Adj-Mixed'!$A$20,VLOOKUP(A144,'800'!$A$7:$AB$188,19,FALSE),IF($C$1='Adj-Mixed'!$A$19,VLOOKUP(A144,'800'!$A$7:$AB$188,28,FALSE)))))</f>
        <v>3.5369084781145523</v>
      </c>
      <c r="F144" s="26">
        <f>IF(A144&gt;200,"",IF($C$1='Adj-Mixed'!$A$21,VLOOKUP(A144,'800'!$A$7:$AB$188,7,FALSE),IF($C$1='Adj-Mixed'!$A$20,VLOOKUP(A144,'800'!$A$7:$AB$188,16,FALSE),IF($C$1='Adj-Mixed'!$A$19,VLOOKUP(A144,'800'!$A$7:$AB$188,25,FALSE)))))</f>
        <v>3.2210409819607051</v>
      </c>
      <c r="G144" s="26">
        <f t="shared" si="32"/>
        <v>266.83619219119942</v>
      </c>
      <c r="H144" s="1"/>
      <c r="I144" s="127">
        <f t="shared" si="25"/>
        <v>184.09867303050004</v>
      </c>
      <c r="J144" s="25">
        <f>IF(A144&gt;200,"",(C144*'Adj-Mixed'!$C$6))</f>
        <v>1430.1795071759655</v>
      </c>
      <c r="K144" s="26">
        <f>IF(A144&gt;200,"",D144*'Adj-Mixed'!$C$7)</f>
        <v>0.1772457809520229</v>
      </c>
      <c r="L144" s="1">
        <f t="shared" si="26"/>
        <v>5.6418832348437178</v>
      </c>
      <c r="M144" s="26">
        <f t="shared" si="27"/>
        <v>8.0689057843531309</v>
      </c>
      <c r="N144" s="115">
        <f t="shared" si="31"/>
        <v>668.42023051677745</v>
      </c>
    </row>
    <row r="145" spans="1:17" x14ac:dyDescent="0.25">
      <c r="A145" s="22">
        <f t="shared" si="28"/>
        <v>163</v>
      </c>
      <c r="B145" s="27">
        <f>IF(A145&gt;200,"",IF($C$1='Adj-Mixed'!$A$21,VLOOKUP(A145,'800'!$A$6:$AB$188,4,FALSE),IF($C$1='Adj-Mixed'!$A$20,VLOOKUP(A145,'800'!$A$6:$AB$188,13,FALSE),IF($C$1='Adj-Mixed'!$A$19,VLOOKUP(A145,'800'!$A$6:$AB$188,22,FALSE)))))</f>
        <v>116.54006128842619</v>
      </c>
      <c r="C145" s="25">
        <f t="shared" si="29"/>
        <v>906.84659859508088</v>
      </c>
      <c r="D145" s="26">
        <f t="shared" si="30"/>
        <v>0.2811073267159081</v>
      </c>
      <c r="E145" s="26">
        <f>IF(A145&gt;200,"",IF($C$1='Adj-Mixed'!$A$21,VLOOKUP(A145,'800'!$A$7:$AB$188,10,FALSE),IF($C$1='Adj-Mixed'!$A$20,VLOOKUP(A145,'800'!$A$7:$AB$188,19,FALSE),IF($C$1='Adj-Mixed'!$A$19,VLOOKUP(A145,'800'!$A$7:$AB$188,28,FALSE)))))</f>
        <v>3.5573601431264619</v>
      </c>
      <c r="F145" s="26">
        <f>IF(A145&gt;200,"",IF($C$1='Adj-Mixed'!$A$21,VLOOKUP(A145,'800'!$A$7:$AB$188,7,FALSE),IF($C$1='Adj-Mixed'!$A$20,VLOOKUP(A145,'800'!$A$7:$AB$188,16,FALSE),IF($C$1='Adj-Mixed'!$A$19,VLOOKUP(A145,'800'!$A$7:$AB$188,25,FALSE)))))</f>
        <v>3.2285030357368605</v>
      </c>
      <c r="G145" s="26">
        <f t="shared" si="32"/>
        <v>270.06469522693629</v>
      </c>
      <c r="H145" s="1"/>
      <c r="I145" s="127">
        <f t="shared" si="25"/>
        <v>185.52395054693625</v>
      </c>
      <c r="J145" s="25">
        <f>IF(A145&gt;200,"",(C145*'Adj-Mixed'!$C$6))</f>
        <v>1425.277516436199</v>
      </c>
      <c r="K145" s="26">
        <f>IF(A145&gt;200,"",D145*'Adj-Mixed'!$C$7)</f>
        <v>0.17622677495011183</v>
      </c>
      <c r="L145" s="1">
        <f t="shared" si="26"/>
        <v>5.6745066138961615</v>
      </c>
      <c r="M145" s="26">
        <f t="shared" si="27"/>
        <v>8.0877466936547062</v>
      </c>
      <c r="N145" s="115">
        <f t="shared" si="31"/>
        <v>676.50797721043216</v>
      </c>
    </row>
    <row r="146" spans="1:17" x14ac:dyDescent="0.25">
      <c r="A146" s="22">
        <f t="shared" si="28"/>
        <v>164</v>
      </c>
      <c r="B146" s="27">
        <f>IF(A146&gt;200,"",IF($C$1='Adj-Mixed'!$A$21,VLOOKUP(A146,'800'!$A$6:$AB$188,4,FALSE),IF($C$1='Adj-Mixed'!$A$20,VLOOKUP(A146,'800'!$A$6:$AB$188,13,FALSE),IF($C$1='Adj-Mixed'!$A$19,VLOOKUP(A146,'800'!$A$6:$AB$188,22,FALSE)))))</f>
        <v>117.44374423451123</v>
      </c>
      <c r="C146" s="25">
        <f t="shared" si="29"/>
        <v>903.68294608504129</v>
      </c>
      <c r="D146" s="26">
        <f t="shared" si="30"/>
        <v>0.27948950441391518</v>
      </c>
      <c r="E146" s="26">
        <f>IF(A146&gt;200,"",IF($C$1='Adj-Mixed'!$A$21,VLOOKUP(A146,'800'!$A$7:$AB$188,10,FALSE),IF($C$1='Adj-Mixed'!$A$20,VLOOKUP(A146,'800'!$A$7:$AB$188,19,FALSE),IF($C$1='Adj-Mixed'!$A$19,VLOOKUP(A146,'800'!$A$7:$AB$188,28,FALSE)))))</f>
        <v>3.577951888021639</v>
      </c>
      <c r="F146" s="26">
        <f>IF(A146&gt;200,"",IF($C$1='Adj-Mixed'!$A$21,VLOOKUP(A146,'800'!$A$7:$AB$188,7,FALSE),IF($C$1='Adj-Mixed'!$A$20,VLOOKUP(A146,'800'!$A$7:$AB$188,16,FALSE),IF($C$1='Adj-Mixed'!$A$19,VLOOKUP(A146,'800'!$A$7:$AB$188,25,FALSE)))))</f>
        <v>3.2358037136156463</v>
      </c>
      <c r="G146" s="26">
        <f t="shared" si="32"/>
        <v>273.30049894055196</v>
      </c>
      <c r="H146" s="1"/>
      <c r="I146" s="127">
        <f t="shared" si="25"/>
        <v>186.94425579706041</v>
      </c>
      <c r="J146" s="25">
        <f>IF(A146&gt;200,"",(C146*'Adj-Mixed'!$C$6))</f>
        <v>1420.3052501241657</v>
      </c>
      <c r="K146" s="26">
        <f>IF(A146&gt;200,"",D146*'Adj-Mixed'!$C$7)</f>
        <v>0.17521255874289532</v>
      </c>
      <c r="L146" s="1">
        <f t="shared" si="26"/>
        <v>5.7073534407278839</v>
      </c>
      <c r="M146" s="26">
        <f t="shared" si="27"/>
        <v>8.1061840561800338</v>
      </c>
      <c r="N146" s="115">
        <f t="shared" si="31"/>
        <v>684.6141612666122</v>
      </c>
    </row>
    <row r="147" spans="1:17" x14ac:dyDescent="0.25">
      <c r="A147" s="22">
        <f t="shared" si="28"/>
        <v>165</v>
      </c>
      <c r="B147" s="27">
        <f>IF(A147&gt;200,"",IF($C$1='Adj-Mixed'!$A$21,VLOOKUP(A147,'800'!$A$6:$AB$188,4,FALSE),IF($C$1='Adj-Mixed'!$A$20,VLOOKUP(A147,'800'!$A$6:$AB$188,13,FALSE),IF($C$1='Adj-Mixed'!$A$19,VLOOKUP(A147,'800'!$A$6:$AB$188,22,FALSE)))))</f>
        <v>118.34422029879137</v>
      </c>
      <c r="C147" s="25">
        <f t="shared" si="29"/>
        <v>900.47606428014149</v>
      </c>
      <c r="D147" s="26">
        <f t="shared" si="30"/>
        <v>0.27787917691651071</v>
      </c>
      <c r="E147" s="26">
        <f>IF(A147&gt;200,"",IF($C$1='Adj-Mixed'!$A$21,VLOOKUP(A147,'800'!$A$7:$AB$188,10,FALSE),IF($C$1='Adj-Mixed'!$A$20,VLOOKUP(A147,'800'!$A$7:$AB$188,19,FALSE),IF($C$1='Adj-Mixed'!$A$19,VLOOKUP(A147,'800'!$A$7:$AB$188,28,FALSE)))))</f>
        <v>3.5986863466939512</v>
      </c>
      <c r="F147" s="26">
        <f>IF(A147&gt;200,"",IF($C$1='Adj-Mixed'!$A$21,VLOOKUP(A147,'800'!$A$7:$AB$188,7,FALSE),IF($C$1='Adj-Mixed'!$A$20,VLOOKUP(A147,'800'!$A$7:$AB$188,16,FALSE),IF($C$1='Adj-Mixed'!$A$19,VLOOKUP(A147,'800'!$A$7:$AB$188,25,FALSE)))))</f>
        <v>3.2429466642788896</v>
      </c>
      <c r="G147" s="26">
        <f t="shared" si="32"/>
        <v>276.54344560483082</v>
      </c>
      <c r="H147" s="1"/>
      <c r="I147" s="127">
        <f t="shared" si="25"/>
        <v>188.35952083802297</v>
      </c>
      <c r="J147" s="25">
        <f>IF(A147&gt;200,"",(C147*'Adj-Mixed'!$C$6))</f>
        <v>1415.2650409625796</v>
      </c>
      <c r="K147" s="26">
        <f>IF(A147&gt;200,"",D147*'Adj-Mixed'!$C$7)</f>
        <v>0.17420304104445458</v>
      </c>
      <c r="L147" s="1">
        <f t="shared" si="26"/>
        <v>5.7404279167825303</v>
      </c>
      <c r="M147" s="26">
        <f t="shared" si="27"/>
        <v>8.1242269507879623</v>
      </c>
      <c r="N147" s="115">
        <f t="shared" si="31"/>
        <v>692.73838821740014</v>
      </c>
    </row>
    <row r="148" spans="1:17" x14ac:dyDescent="0.25">
      <c r="A148" s="22">
        <f t="shared" si="28"/>
        <v>166</v>
      </c>
      <c r="B148" s="27">
        <f>IF(A148&gt;200,"",IF($C$1='Adj-Mixed'!$A$21,VLOOKUP(A148,'800'!$A$6:$AB$188,4,FALSE),IF($C$1='Adj-Mixed'!$A$20,VLOOKUP(A148,'800'!$A$6:$AB$188,13,FALSE),IF($C$1='Adj-Mixed'!$A$19,VLOOKUP(A148,'800'!$A$6:$AB$188,22,FALSE)))))</f>
        <v>119.24144771518164</v>
      </c>
      <c r="C148" s="25">
        <f t="shared" si="29"/>
        <v>897.22741639026538</v>
      </c>
      <c r="D148" s="26">
        <f t="shared" si="30"/>
        <v>0.27627620833613314</v>
      </c>
      <c r="E148" s="26">
        <f>IF(A148&gt;200,"",IF($C$1='Adj-Mixed'!$A$21,VLOOKUP(A148,'800'!$A$7:$AB$188,10,FALSE),IF($C$1='Adj-Mixed'!$A$20,VLOOKUP(A148,'800'!$A$7:$AB$188,19,FALSE),IF($C$1='Adj-Mixed'!$A$19,VLOOKUP(A148,'800'!$A$7:$AB$188,28,FALSE)))))</f>
        <v>3.6195661074924841</v>
      </c>
      <c r="F148" s="26">
        <f>IF(A148&gt;200,"",IF($C$1='Adj-Mixed'!$A$21,VLOOKUP(A148,'800'!$A$7:$AB$188,7,FALSE),IF($C$1='Adj-Mixed'!$A$20,VLOOKUP(A148,'800'!$A$7:$AB$188,16,FALSE),IF($C$1='Adj-Mixed'!$A$19,VLOOKUP(A148,'800'!$A$7:$AB$188,25,FALSE)))))</f>
        <v>3.2499354688052362</v>
      </c>
      <c r="G148" s="26">
        <f t="shared" si="32"/>
        <v>279.79338107363606</v>
      </c>
      <c r="H148" s="1"/>
      <c r="I148" s="127">
        <f t="shared" si="25"/>
        <v>189.76968002667996</v>
      </c>
      <c r="J148" s="25">
        <f>IF(A148&gt;200,"",(C148*'Adj-Mixed'!$C$6))</f>
        <v>1410.1591886569838</v>
      </c>
      <c r="K148" s="26">
        <f>IF(A148&gt;200,"",D148*'Adj-Mixed'!$C$7)</f>
        <v>0.17319813666659115</v>
      </c>
      <c r="L148" s="1">
        <f t="shared" si="26"/>
        <v>5.7737341708532011</v>
      </c>
      <c r="M148" s="26">
        <f t="shared" si="27"/>
        <v>8.1418842938914526</v>
      </c>
      <c r="N148" s="115">
        <f t="shared" si="31"/>
        <v>700.88027251129165</v>
      </c>
    </row>
    <row r="149" spans="1:17" x14ac:dyDescent="0.25">
      <c r="A149" s="22">
        <f t="shared" si="28"/>
        <v>167</v>
      </c>
      <c r="B149" s="27">
        <f>IF(A149&gt;200,"",IF($C$1='Adj-Mixed'!$A$21,VLOOKUP(A149,'800'!$A$6:$AB$188,4,FALSE),IF($C$1='Adj-Mixed'!$A$20,VLOOKUP(A149,'800'!$A$6:$AB$188,13,FALSE),IF($C$1='Adj-Mixed'!$A$19,VLOOKUP(A149,'800'!$A$6:$AB$188,22,FALSE)))))</f>
        <v>120.13538615966294</v>
      </c>
      <c r="C149" s="25">
        <f t="shared" si="29"/>
        <v>893.93844448130722</v>
      </c>
      <c r="D149" s="26">
        <f t="shared" si="30"/>
        <v>0.27468047206930674</v>
      </c>
      <c r="E149" s="26">
        <f>IF(A149&gt;200,"",IF($C$1='Adj-Mixed'!$A$21,VLOOKUP(A149,'800'!$A$7:$AB$188,10,FALSE),IF($C$1='Adj-Mixed'!$A$20,VLOOKUP(A149,'800'!$A$7:$AB$188,19,FALSE),IF($C$1='Adj-Mixed'!$A$19,VLOOKUP(A149,'800'!$A$7:$AB$188,28,FALSE)))))</f>
        <v>3.6405937140943978</v>
      </c>
      <c r="F149" s="26">
        <f>IF(A149&gt;200,"",IF($C$1='Adj-Mixed'!$A$21,VLOOKUP(A149,'800'!$A$7:$AB$188,7,FALSE),IF($C$1='Adj-Mixed'!$A$20,VLOOKUP(A149,'800'!$A$7:$AB$188,16,FALSE),IF($C$1='Adj-Mixed'!$A$19,VLOOKUP(A149,'800'!$A$7:$AB$188,25,FALSE)))))</f>
        <v>3.2567736405982366</v>
      </c>
      <c r="G149" s="26">
        <f t="shared" si="32"/>
        <v>283.05015471423428</v>
      </c>
      <c r="H149" s="1"/>
      <c r="I149" s="127">
        <f t="shared" si="25"/>
        <v>191.17466998636118</v>
      </c>
      <c r="J149" s="25">
        <f>IF(A149&gt;200,"",(C149*'Adj-Mixed'!$C$6))</f>
        <v>1404.9899596812227</v>
      </c>
      <c r="K149" s="26">
        <f>IF(A149&gt;200,"",D149*'Adj-Mixed'!$C$7)</f>
        <v>0.17219776624131958</v>
      </c>
      <c r="L149" s="1">
        <f t="shared" si="26"/>
        <v>5.8072762604747759</v>
      </c>
      <c r="M149" s="26">
        <f t="shared" si="27"/>
        <v>8.1591648390621785</v>
      </c>
      <c r="N149" s="115">
        <f t="shared" si="31"/>
        <v>709.03943735035386</v>
      </c>
    </row>
    <row r="150" spans="1:17" x14ac:dyDescent="0.25">
      <c r="A150" s="22">
        <f t="shared" si="28"/>
        <v>168</v>
      </c>
      <c r="B150" s="27">
        <f>IF(A150&gt;200,"",IF($C$1='Adj-Mixed'!$A$21,VLOOKUP(A150,'800'!$A$6:$AB$188,4,FALSE),IF($C$1='Adj-Mixed'!$A$20,VLOOKUP(A150,'800'!$A$6:$AB$188,13,FALSE),IF($C$1='Adj-Mixed'!$A$19,VLOOKUP(A150,'800'!$A$6:$AB$188,22,FALSE)))))</f>
        <v>121.02599672902059</v>
      </c>
      <c r="C150" s="25">
        <f t="shared" si="29"/>
        <v>890.61056935764782</v>
      </c>
      <c r="D150" s="26">
        <f t="shared" si="30"/>
        <v>0.27309185036789763</v>
      </c>
      <c r="E150" s="26">
        <f>IF(A150&gt;200,"",IF($C$1='Adj-Mixed'!$A$21,VLOOKUP(A150,'800'!$A$7:$AB$188,10,FALSE),IF($C$1='Adj-Mixed'!$A$20,VLOOKUP(A150,'800'!$A$7:$AB$188,19,FALSE),IF($C$1='Adj-Mixed'!$A$19,VLOOKUP(A150,'800'!$A$7:$AB$188,28,FALSE)))))</f>
        <v>3.6617716663929842</v>
      </c>
      <c r="F150" s="26">
        <f>IF(A150&gt;200,"",IF($C$1='Adj-Mixed'!$A$21,VLOOKUP(A150,'800'!$A$7:$AB$188,7,FALSE),IF($C$1='Adj-Mixed'!$A$20,VLOOKUP(A150,'800'!$A$7:$AB$188,16,FALSE),IF($C$1='Adj-Mixed'!$A$19,VLOOKUP(A150,'800'!$A$7:$AB$188,25,FALSE)))))</f>
        <v>3.2634646254239126</v>
      </c>
      <c r="G150" s="26">
        <f t="shared" si="32"/>
        <v>286.3136193396582</v>
      </c>
      <c r="H150" s="1"/>
      <c r="I150" s="127">
        <f t="shared" si="25"/>
        <v>192.5744295734539</v>
      </c>
      <c r="J150" s="25">
        <f>IF(A150&gt;200,"",(C150*'Adj-Mixed'!$C$6))</f>
        <v>1399.7595870927305</v>
      </c>
      <c r="K150" s="26">
        <f>IF(A150&gt;200,"",D150*'Adj-Mixed'!$C$7)</f>
        <v>0.17120185595208681</v>
      </c>
      <c r="L150" s="1">
        <f t="shared" si="26"/>
        <v>5.8410581733405023</v>
      </c>
      <c r="M150" s="26">
        <f t="shared" si="27"/>
        <v>8.1760771768997191</v>
      </c>
      <c r="N150" s="115">
        <f t="shared" si="31"/>
        <v>717.21551452725362</v>
      </c>
      <c r="Q150" s="2"/>
    </row>
    <row r="151" spans="1:17" x14ac:dyDescent="0.25">
      <c r="A151" s="22">
        <f t="shared" si="28"/>
        <v>169</v>
      </c>
      <c r="B151" s="27">
        <f>IF(A151&gt;200,"",IF($C$1='Adj-Mixed'!$A$21,VLOOKUP(A151,'800'!$A$6:$AB$188,4,FALSE),IF($C$1='Adj-Mixed'!$A$20,VLOOKUP(A151,'800'!$A$6:$AB$188,13,FALSE),IF($C$1='Adj-Mixed'!$A$19,VLOOKUP(A151,'800'!$A$6:$AB$188,22,FALSE)))))</f>
        <v>121.91324191948527</v>
      </c>
      <c r="C151" s="25">
        <f t="shared" si="29"/>
        <v>887.24519046468231</v>
      </c>
      <c r="D151" s="26">
        <f t="shared" si="30"/>
        <v>0.27151023392435814</v>
      </c>
      <c r="E151" s="26">
        <f>IF(A151&gt;200,"",IF($C$1='Adj-Mixed'!$A$21,VLOOKUP(A151,'800'!$A$7:$AB$188,10,FALSE),IF($C$1='Adj-Mixed'!$A$20,VLOOKUP(A151,'800'!$A$7:$AB$188,19,FALSE),IF($C$1='Adj-Mixed'!$A$19,VLOOKUP(A151,'800'!$A$7:$AB$188,28,FALSE)))))</f>
        <v>3.683102421393798</v>
      </c>
      <c r="F151" s="26">
        <f>IF(A151&gt;200,"",IF($C$1='Adj-Mixed'!$A$21,VLOOKUP(A151,'800'!$A$7:$AB$188,7,FALSE),IF($C$1='Adj-Mixed'!$A$20,VLOOKUP(A151,'800'!$A$7:$AB$188,16,FALSE),IF($C$1='Adj-Mixed'!$A$19,VLOOKUP(A151,'800'!$A$7:$AB$188,25,FALSE)))))</f>
        <v>3.2700118015499928</v>
      </c>
      <c r="G151" s="26">
        <f t="shared" si="32"/>
        <v>289.58363114120817</v>
      </c>
      <c r="H151" s="1"/>
      <c r="I151" s="127">
        <f t="shared" si="25"/>
        <v>193.96889984383324</v>
      </c>
      <c r="J151" s="25">
        <f>IF(A151&gt;200,"",(C151*'Adj-Mixed'!$C$6))</f>
        <v>1394.4702703793373</v>
      </c>
      <c r="K151" s="26">
        <f>IF(A151&gt;200,"",D151*'Adj-Mixed'!$C$7)</f>
        <v>0.17021033727376111</v>
      </c>
      <c r="L151" s="1">
        <f t="shared" si="26"/>
        <v>5.8750838287314506</v>
      </c>
      <c r="M151" s="26">
        <f t="shared" si="27"/>
        <v>8.1926297351524173</v>
      </c>
      <c r="N151" s="115">
        <f t="shared" si="31"/>
        <v>725.40814426240604</v>
      </c>
    </row>
    <row r="152" spans="1:17" x14ac:dyDescent="0.25">
      <c r="A152" s="22">
        <f t="shared" si="28"/>
        <v>170</v>
      </c>
      <c r="B152" s="27">
        <f>IF(A152&gt;200,"",IF($C$1='Adj-Mixed'!$A$21,VLOOKUP(A152,'800'!$A$6:$AB$188,4,FALSE),IF($C$1='Adj-Mixed'!$A$20,VLOOKUP(A152,'800'!$A$6:$AB$188,13,FALSE),IF($C$1='Adj-Mixed'!$A$19,VLOOKUP(A152,'800'!$A$6:$AB$188,22,FALSE)))))</f>
        <v>122.79708560529419</v>
      </c>
      <c r="C152" s="25">
        <f t="shared" si="29"/>
        <v>883.84368580891248</v>
      </c>
      <c r="D152" s="26">
        <f t="shared" si="30"/>
        <v>0.26993552147025346</v>
      </c>
      <c r="E152" s="26">
        <f>IF(A152&gt;200,"",IF($C$1='Adj-Mixed'!$A$21,VLOOKUP(A152,'800'!$A$7:$AB$188,10,FALSE),IF($C$1='Adj-Mixed'!$A$20,VLOOKUP(A152,'800'!$A$7:$AB$188,19,FALSE),IF($C$1='Adj-Mixed'!$A$19,VLOOKUP(A152,'800'!$A$7:$AB$188,28,FALSE)))))</f>
        <v>3.7045883941221076</v>
      </c>
      <c r="F152" s="26">
        <f>IF(A152&gt;200,"",IF($C$1='Adj-Mixed'!$A$21,VLOOKUP(A152,'800'!$A$7:$AB$188,7,FALSE),IF($C$1='Adj-Mixed'!$A$20,VLOOKUP(A152,'800'!$A$7:$AB$188,16,FALSE),IF($C$1='Adj-Mixed'!$A$19,VLOOKUP(A152,'800'!$A$7:$AB$188,25,FALSE)))))</f>
        <v>3.2764184799793288</v>
      </c>
      <c r="G152" s="26">
        <f t="shared" si="32"/>
        <v>292.8600496211875</v>
      </c>
      <c r="H152" s="1"/>
      <c r="I152" s="127">
        <f t="shared" si="25"/>
        <v>195.35802401916692</v>
      </c>
      <c r="J152" s="25">
        <f>IF(A152&gt;200,"",(C152*'Adj-Mixed'!$C$6))</f>
        <v>1389.1241753336783</v>
      </c>
      <c r="K152" s="26">
        <f>IF(A152&gt;200,"",D152*'Adj-Mixed'!$C$7)</f>
        <v>0.16922314672094746</v>
      </c>
      <c r="L152" s="1">
        <f t="shared" si="26"/>
        <v>5.9093570789640326</v>
      </c>
      <c r="M152" s="26">
        <f t="shared" si="27"/>
        <v>8.2088307790681458</v>
      </c>
      <c r="N152" s="115">
        <f t="shared" si="31"/>
        <v>733.61697504147423</v>
      </c>
    </row>
    <row r="153" spans="1:17" x14ac:dyDescent="0.25">
      <c r="A153" s="22">
        <f t="shared" si="28"/>
        <v>171</v>
      </c>
      <c r="B153" s="27">
        <f>IF(A153&gt;200,"",IF($C$1='Adj-Mixed'!$A$21,VLOOKUP(A153,'800'!$A$6:$AB$188,4,FALSE),IF($C$1='Adj-Mixed'!$A$20,VLOOKUP(A153,'800'!$A$6:$AB$188,13,FALSE),IF($C$1='Adj-Mixed'!$A$19,VLOOKUP(A153,'800'!$A$6:$AB$188,22,FALSE)))))</f>
        <v>123.67749301719087</v>
      </c>
      <c r="C153" s="25">
        <f t="shared" si="29"/>
        <v>880.40741189668381</v>
      </c>
      <c r="D153" s="26">
        <f t="shared" si="30"/>
        <v>0.26836761938818376</v>
      </c>
      <c r="E153" s="26">
        <f>IF(A153&gt;200,"",IF($C$1='Adj-Mixed'!$A$21,VLOOKUP(A153,'800'!$A$7:$AB$188,10,FALSE),IF($C$1='Adj-Mixed'!$A$20,VLOOKUP(A153,'800'!$A$7:$AB$188,19,FALSE),IF($C$1='Adj-Mixed'!$A$19,VLOOKUP(A153,'800'!$A$7:$AB$188,28,FALSE)))))</f>
        <v>3.726231958534227</v>
      </c>
      <c r="F153" s="26">
        <f>IF(A153&gt;200,"",IF($C$1='Adj-Mixed'!$A$21,VLOOKUP(A153,'800'!$A$7:$AB$188,7,FALSE),IF($C$1='Adj-Mixed'!$A$20,VLOOKUP(A153,'800'!$A$7:$AB$188,16,FALSE),IF($C$1='Adj-Mixed'!$A$19,VLOOKUP(A153,'800'!$A$7:$AB$188,25,FALSE)))))</f>
        <v>3.2826879047703272</v>
      </c>
      <c r="G153" s="26">
        <f t="shared" si="32"/>
        <v>296.14273752595784</v>
      </c>
      <c r="H153" s="1"/>
      <c r="I153" s="127">
        <f t="shared" si="25"/>
        <v>196.74174745312382</v>
      </c>
      <c r="J153" s="25">
        <f>IF(A153&gt;200,"",(C153*'Adj-Mixed'!$C$6))</f>
        <v>1383.7234339569081</v>
      </c>
      <c r="K153" s="26">
        <f>IF(A153&gt;200,"",D153*'Adj-Mixed'!$C$7)</f>
        <v>0.16824022560470084</v>
      </c>
      <c r="L153" s="1">
        <f t="shared" si="26"/>
        <v>5.9438817108437041</v>
      </c>
      <c r="M153" s="26">
        <f t="shared" si="27"/>
        <v>8.2246884119623136</v>
      </c>
      <c r="N153" s="115">
        <f t="shared" si="31"/>
        <v>741.84166345343658</v>
      </c>
    </row>
    <row r="154" spans="1:17" x14ac:dyDescent="0.25">
      <c r="A154" s="22">
        <f t="shared" si="28"/>
        <v>172</v>
      </c>
      <c r="B154" s="27">
        <f>IF(A154&gt;200,"",IF($C$1='Adj-Mixed'!$A$21,VLOOKUP(A154,'800'!$A$6:$AB$188,4,FALSE),IF($C$1='Adj-Mixed'!$A$20,VLOOKUP(A154,'800'!$A$6:$AB$188,13,FALSE),IF($C$1='Adj-Mixed'!$A$19,VLOOKUP(A154,'800'!$A$6:$AB$188,22,FALSE)))))</f>
        <v>124.55443072088049</v>
      </c>
      <c r="C154" s="25">
        <f t="shared" si="29"/>
        <v>876.93770368962021</v>
      </c>
      <c r="D154" s="26">
        <f t="shared" si="30"/>
        <v>0.26680644133656245</v>
      </c>
      <c r="E154" s="26">
        <f>IF(A154&gt;200,"",IF($C$1='Adj-Mixed'!$A$21,VLOOKUP(A154,'800'!$A$7:$AB$188,10,FALSE),IF($C$1='Adj-Mixed'!$A$20,VLOOKUP(A154,'800'!$A$7:$AB$188,19,FALSE),IF($C$1='Adj-Mixed'!$A$19,VLOOKUP(A154,'800'!$A$7:$AB$188,28,FALSE)))))</f>
        <v>3.7480354484341403</v>
      </c>
      <c r="F154" s="26">
        <f>IF(A154&gt;200,"",IF($C$1='Adj-Mixed'!$A$21,VLOOKUP(A154,'800'!$A$7:$AB$188,7,FALSE),IF($C$1='Adj-Mixed'!$A$20,VLOOKUP(A154,'800'!$A$7:$AB$188,16,FALSE),IF($C$1='Adj-Mixed'!$A$19,VLOOKUP(A154,'800'!$A$7:$AB$188,25,FALSE)))))</f>
        <v>3.2888232534375859</v>
      </c>
      <c r="G154" s="26">
        <f t="shared" si="32"/>
        <v>299.43156077939545</v>
      </c>
      <c r="H154" s="1"/>
      <c r="I154" s="127">
        <f t="shared" si="25"/>
        <v>198.12001759751249</v>
      </c>
      <c r="J154" s="25">
        <f>IF(A154&gt;200,"",(C154*'Adj-Mixed'!$C$6))</f>
        <v>1378.2701443886579</v>
      </c>
      <c r="K154" s="26">
        <f>IF(A154&gt;200,"",D154*'Adj-Mixed'!$C$7)</f>
        <v>0.16726151979729878</v>
      </c>
      <c r="L154" s="1">
        <f t="shared" si="26"/>
        <v>5.9786614471271218</v>
      </c>
      <c r="M154" s="26">
        <f t="shared" si="27"/>
        <v>8.2402105759828004</v>
      </c>
      <c r="N154" s="115">
        <f t="shared" si="31"/>
        <v>750.0818740294194</v>
      </c>
    </row>
    <row r="155" spans="1:17" x14ac:dyDescent="0.25">
      <c r="A155" s="22">
        <f t="shared" si="28"/>
        <v>173</v>
      </c>
      <c r="B155" s="27">
        <f>IF(A155&gt;200,"",IF($C$1='Adj-Mixed'!$A$21,VLOOKUP(A155,'800'!$A$6:$AB$188,4,FALSE),IF($C$1='Adj-Mixed'!$A$20,VLOOKUP(A155,'800'!$A$6:$AB$188,13,FALSE),IF($C$1='Adj-Mixed'!$A$19,VLOOKUP(A155,'800'!$A$6:$AB$188,22,FALSE)))))</f>
        <v>125.4278665954572</v>
      </c>
      <c r="C155" s="25">
        <f t="shared" si="29"/>
        <v>873.4358745767139</v>
      </c>
      <c r="D155" s="26">
        <f t="shared" si="30"/>
        <v>0.26525190788709208</v>
      </c>
      <c r="E155" s="26">
        <f>IF(A155&gt;200,"",IF($C$1='Adj-Mixed'!$A$21,VLOOKUP(A155,'800'!$A$7:$AB$188,10,FALSE),IF($C$1='Adj-Mixed'!$A$20,VLOOKUP(A155,'800'!$A$7:$AB$188,19,FALSE),IF($C$1='Adj-Mixed'!$A$19,VLOOKUP(A155,'800'!$A$7:$AB$188,28,FALSE)))))</f>
        <v>3.7700011583919051</v>
      </c>
      <c r="F155" s="26">
        <f>IF(A155&gt;200,"",IF($C$1='Adj-Mixed'!$A$21,VLOOKUP(A155,'800'!$A$7:$AB$188,7,FALSE),IF($C$1='Adj-Mixed'!$A$20,VLOOKUP(A155,'800'!$A$7:$AB$188,16,FALSE),IF($C$1='Adj-Mixed'!$A$19,VLOOKUP(A155,'800'!$A$7:$AB$188,25,FALSE)))))</f>
        <v>3.294827637426212</v>
      </c>
      <c r="G155" s="26">
        <f t="shared" si="32"/>
        <v>302.72638841682169</v>
      </c>
      <c r="H155" s="1"/>
      <c r="I155" s="127">
        <f t="shared" si="25"/>
        <v>199.49278396837565</v>
      </c>
      <c r="J155" s="25">
        <f>IF(A155&gt;200,"",(C155*'Adj-Mixed'!$C$6))</f>
        <v>1372.766370863169</v>
      </c>
      <c r="K155" s="26">
        <f>IF(A155&gt;200,"",D155*'Adj-Mixed'!$C$7)</f>
        <v>0.16628697950497445</v>
      </c>
      <c r="L155" s="1">
        <f t="shared" si="26"/>
        <v>6.0136999479871189</v>
      </c>
      <c r="M155" s="26">
        <f t="shared" si="27"/>
        <v>8.2554050530583059</v>
      </c>
      <c r="N155" s="115">
        <f t="shared" si="31"/>
        <v>758.33727908247772</v>
      </c>
    </row>
    <row r="156" spans="1:17" x14ac:dyDescent="0.25">
      <c r="A156" s="22">
        <f t="shared" si="28"/>
        <v>174</v>
      </c>
      <c r="B156" s="27">
        <f>IF(A156&gt;200,"",IF($C$1='Adj-Mixed'!$A$21,VLOOKUP(A156,'800'!$A$6:$AB$188,4,FALSE),IF($C$1='Adj-Mixed'!$A$20,VLOOKUP(A156,'800'!$A$6:$AB$188,13,FALSE),IF($C$1='Adj-Mixed'!$A$19,VLOOKUP(A156,'800'!$A$6:$AB$188,22,FALSE)))))</f>
        <v>126.29776981181985</v>
      </c>
      <c r="C156" s="25">
        <f t="shared" si="29"/>
        <v>869.90321636264412</v>
      </c>
      <c r="D156" s="26">
        <f t="shared" si="30"/>
        <v>0.26370394617466708</v>
      </c>
      <c r="E156" s="26">
        <f>IF(A156&gt;200,"",IF($C$1='Adj-Mixed'!$A$21,VLOOKUP(A156,'800'!$A$7:$AB$188,10,FALSE),IF($C$1='Adj-Mixed'!$A$20,VLOOKUP(A156,'800'!$A$7:$AB$188,19,FALSE),IF($C$1='Adj-Mixed'!$A$19,VLOOKUP(A156,'800'!$A$7:$AB$188,28,FALSE)))))</f>
        <v>3.7921313446619398</v>
      </c>
      <c r="F156" s="26">
        <f>IF(A156&gt;200,"",IF($C$1='Adj-Mixed'!$A$21,VLOOKUP(A156,'800'!$A$7:$AB$188,7,FALSE),IF($C$1='Adj-Mixed'!$A$20,VLOOKUP(A156,'800'!$A$7:$AB$188,16,FALSE),IF($C$1='Adj-Mixed'!$A$19,VLOOKUP(A156,'800'!$A$7:$AB$188,25,FALSE)))))</f>
        <v>3.3007041026536239</v>
      </c>
      <c r="G156" s="26">
        <f t="shared" si="32"/>
        <v>306.02709251947533</v>
      </c>
      <c r="H156" s="1"/>
      <c r="I156" s="127">
        <f t="shared" si="25"/>
        <v>200.85999811206659</v>
      </c>
      <c r="J156" s="25">
        <f>IF(A156&gt;200,"",(C156*'Adj-Mixed'!$C$6))</f>
        <v>1367.2141436909353</v>
      </c>
      <c r="K156" s="26">
        <f>IF(A156&gt;200,"",D156*'Adj-Mixed'!$C$7)</f>
        <v>0.16531655904843973</v>
      </c>
      <c r="L156" s="1">
        <f t="shared" si="26"/>
        <v>6.0490008124775212</v>
      </c>
      <c r="M156" s="26">
        <f t="shared" si="27"/>
        <v>8.2702794660172252</v>
      </c>
      <c r="N156" s="115">
        <f t="shared" si="31"/>
        <v>766.60755854849492</v>
      </c>
    </row>
    <row r="157" spans="1:17" x14ac:dyDescent="0.25">
      <c r="A157" s="22">
        <f t="shared" si="28"/>
        <v>175</v>
      </c>
      <c r="B157" s="27">
        <f>IF(A157&gt;200,"",IF($C$1='Adj-Mixed'!$A$21,VLOOKUP(A157,'800'!$A$6:$AB$188,4,FALSE),IF($C$1='Adj-Mixed'!$A$20,VLOOKUP(A157,'800'!$A$6:$AB$188,13,FALSE),IF($C$1='Adj-Mixed'!$A$19,VLOOKUP(A157,'800'!$A$6:$AB$188,22,FALSE)))))</f>
        <v>127.16411081109075</v>
      </c>
      <c r="C157" s="25">
        <f t="shared" si="29"/>
        <v>866.34099927090347</v>
      </c>
      <c r="D157" s="26">
        <f t="shared" si="30"/>
        <v>0.26216248955931476</v>
      </c>
      <c r="E157" s="26">
        <f>IF(A157&gt;200,"",IF($C$1='Adj-Mixed'!$A$21,VLOOKUP(A157,'800'!$A$7:$AB$188,10,FALSE),IF($C$1='Adj-Mixed'!$A$20,VLOOKUP(A157,'800'!$A$7:$AB$188,19,FALSE),IF($C$1='Adj-Mixed'!$A$19,VLOOKUP(A157,'800'!$A$7:$AB$188,28,FALSE)))))</f>
        <v>3.8144282261011568</v>
      </c>
      <c r="F157" s="26">
        <f>IF(A157&gt;200,"",IF($C$1='Adj-Mixed'!$A$21,VLOOKUP(A157,'800'!$A$7:$AB$188,7,FALSE),IF($C$1='Adj-Mixed'!$A$20,VLOOKUP(A157,'800'!$A$7:$AB$188,16,FALSE),IF($C$1='Adj-Mixed'!$A$19,VLOOKUP(A157,'800'!$A$7:$AB$188,25,FALSE)))))</f>
        <v>3.3064556301129606</v>
      </c>
      <c r="G157" s="26">
        <f t="shared" si="32"/>
        <v>309.3335481495883</v>
      </c>
      <c r="H157" s="1"/>
      <c r="I157" s="127">
        <f t="shared" si="25"/>
        <v>202.22161357133021</v>
      </c>
      <c r="J157" s="25">
        <f>IF(A157&gt;200,"",(C157*'Adj-Mixed'!$C$6))</f>
        <v>1361.6154592636151</v>
      </c>
      <c r="K157" s="26">
        <f>IF(A157&gt;200,"",D157*'Adj-Mixed'!$C$7)</f>
        <v>0.16435021665095542</v>
      </c>
      <c r="L157" s="1">
        <f t="shared" si="26"/>
        <v>6.0845675799976906</v>
      </c>
      <c r="M157" s="26">
        <f t="shared" si="27"/>
        <v>8.2848412798590587</v>
      </c>
      <c r="N157" s="115">
        <f t="shared" si="31"/>
        <v>774.89239982835397</v>
      </c>
    </row>
    <row r="158" spans="1:17" x14ac:dyDescent="0.25">
      <c r="A158" s="22">
        <f t="shared" si="28"/>
        <v>176</v>
      </c>
      <c r="B158" s="27">
        <f>IF(A158&gt;200,"",IF($C$1='Adj-Mixed'!$A$21,VLOOKUP(A158,'800'!$A$6:$AB$188,4,FALSE),IF($C$1='Adj-Mixed'!$A$20,VLOOKUP(A158,'800'!$A$6:$AB$188,13,FALSE),IF($C$1='Adj-Mixed'!$A$19,VLOOKUP(A158,'800'!$A$6:$AB$188,22,FALSE)))))</f>
        <v>128.02686128305285</v>
      </c>
      <c r="C158" s="25">
        <f t="shared" si="29"/>
        <v>862.75047196210153</v>
      </c>
      <c r="D158" s="26">
        <f t="shared" si="30"/>
        <v>0.26062747730009073</v>
      </c>
      <c r="E158" s="26">
        <f>IF(A158&gt;200,"",IF($C$1='Adj-Mixed'!$A$21,VLOOKUP(A158,'800'!$A$7:$AB$188,10,FALSE),IF($C$1='Adj-Mixed'!$A$20,VLOOKUP(A158,'800'!$A$7:$AB$188,19,FALSE),IF($C$1='Adj-Mixed'!$A$19,VLOOKUP(A158,'800'!$A$7:$AB$188,28,FALSE)))))</f>
        <v>3.8368939850827148</v>
      </c>
      <c r="F158" s="26">
        <f>IF(A158&gt;200,"",IF($C$1='Adj-Mixed'!$A$21,VLOOKUP(A158,'800'!$A$7:$AB$188,7,FALSE),IF($C$1='Adj-Mixed'!$A$20,VLOOKUP(A158,'800'!$A$7:$AB$188,16,FALSE),IF($C$1='Adj-Mixed'!$A$19,VLOOKUP(A158,'800'!$A$7:$AB$188,25,FALSE)))))</f>
        <v>3.3120851365325041</v>
      </c>
      <c r="G158" s="26">
        <f t="shared" si="32"/>
        <v>312.64563328612081</v>
      </c>
      <c r="H158" s="1"/>
      <c r="I158" s="127">
        <f t="shared" si="25"/>
        <v>203.57758585141301</v>
      </c>
      <c r="J158" s="25">
        <f>IF(A158&gt;200,"",(C158*'Adj-Mixed'!$C$6))</f>
        <v>1355.972280082799</v>
      </c>
      <c r="K158" s="26">
        <f>IF(A158&gt;200,"",D158*'Adj-Mixed'!$C$7)</f>
        <v>0.16338791423389562</v>
      </c>
      <c r="L158" s="1">
        <f t="shared" si="26"/>
        <v>6.1204037317501001</v>
      </c>
      <c r="M158" s="26">
        <f t="shared" si="27"/>
        <v>8.2990978031684541</v>
      </c>
      <c r="N158" s="115">
        <f t="shared" si="31"/>
        <v>783.19149763152245</v>
      </c>
    </row>
    <row r="159" spans="1:17" x14ac:dyDescent="0.25">
      <c r="A159" s="22">
        <f t="shared" si="28"/>
        <v>177</v>
      </c>
      <c r="B159" s="27">
        <f>IF(A159&gt;200,"",IF($C$1='Adj-Mixed'!$A$21,VLOOKUP(A159,'800'!$A$6:$AB$188,4,FALSE),IF($C$1='Adj-Mixed'!$A$20,VLOOKUP(A159,'800'!$A$6:$AB$188,13,FALSE),IF($C$1='Adj-Mixed'!$A$19,VLOOKUP(A159,'800'!$A$6:$AB$188,22,FALSE)))))</f>
        <v>128.88599414461902</v>
      </c>
      <c r="C159" s="25">
        <f t="shared" si="29"/>
        <v>859.13286156616664</v>
      </c>
      <c r="D159" s="26">
        <f t="shared" si="30"/>
        <v>0.25909885424048185</v>
      </c>
      <c r="E159" s="26">
        <f>IF(A159&gt;200,"",IF($C$1='Adj-Mixed'!$A$21,VLOOKUP(A159,'800'!$A$7:$AB$188,10,FALSE),IF($C$1='Adj-Mixed'!$A$20,VLOOKUP(A159,'800'!$A$7:$AB$188,19,FALSE),IF($C$1='Adj-Mixed'!$A$19,VLOOKUP(A159,'800'!$A$7:$AB$188,28,FALSE)))))</f>
        <v>3.8595307684064593</v>
      </c>
      <c r="F159" s="26">
        <f>IF(A159&gt;200,"",IF($C$1='Adj-Mixed'!$A$21,VLOOKUP(A159,'800'!$A$7:$AB$188,7,FALSE),IF($C$1='Adj-Mixed'!$A$20,VLOOKUP(A159,'800'!$A$7:$AB$188,16,FALSE),IF($C$1='Adj-Mixed'!$A$19,VLOOKUP(A159,'800'!$A$7:$AB$188,25,FALSE)))))</f>
        <v>3.3175954750858301</v>
      </c>
      <c r="G159" s="26">
        <f t="shared" si="32"/>
        <v>315.96322876120666</v>
      </c>
      <c r="H159" s="1"/>
      <c r="I159" s="127">
        <f t="shared" si="25"/>
        <v>204.92787238622364</v>
      </c>
      <c r="J159" s="25">
        <f>IF(A159&gt;200,"",(C159*'Adj-Mixed'!$C$6))</f>
        <v>1350.286534810622</v>
      </c>
      <c r="K159" s="26">
        <f>IF(A159&gt;200,"",D159*'Adj-Mixed'!$C$7)</f>
        <v>0.16242961721952612</v>
      </c>
      <c r="L159" s="1">
        <f t="shared" si="26"/>
        <v>6.156512692192611</v>
      </c>
      <c r="M159" s="26">
        <f t="shared" si="27"/>
        <v>8.3130561896583739</v>
      </c>
      <c r="N159" s="115">
        <f t="shared" si="31"/>
        <v>791.50455382118082</v>
      </c>
    </row>
    <row r="160" spans="1:17" x14ac:dyDescent="0.25">
      <c r="A160" s="22">
        <f t="shared" si="28"/>
        <v>178</v>
      </c>
      <c r="B160" s="27">
        <f>IF(A160&gt;200,"",IF($C$1='Adj-Mixed'!$A$21,VLOOKUP(A160,'800'!$A$6:$AB$188,4,FALSE),IF($C$1='Adj-Mixed'!$A$20,VLOOKUP(A160,'800'!$A$6:$AB$188,13,FALSE),IF($C$1='Adj-Mixed'!$A$19,VLOOKUP(A160,'800'!$A$6:$AB$188,22,FALSE)))))</f>
        <v>129.7414835183468</v>
      </c>
      <c r="C160" s="25">
        <f t="shared" si="29"/>
        <v>855.489373727778</v>
      </c>
      <c r="D160" s="26">
        <f t="shared" si="30"/>
        <v>0.2575765705050897</v>
      </c>
      <c r="E160" s="26">
        <f>IF(A160&gt;200,"",IF($C$1='Adj-Mixed'!$A$21,VLOOKUP(A160,'800'!$A$7:$AB$188,10,FALSE),IF($C$1='Adj-Mixed'!$A$20,VLOOKUP(A160,'800'!$A$7:$AB$188,19,FALSE),IF($C$1='Adj-Mixed'!$A$19,VLOOKUP(A160,'800'!$A$7:$AB$188,28,FALSE)))))</f>
        <v>3.8823406882041702</v>
      </c>
      <c r="F160" s="26">
        <f>IF(A160&gt;200,"",IF($C$1='Adj-Mixed'!$A$21,VLOOKUP(A160,'800'!$A$7:$AB$188,7,FALSE),IF($C$1='Adj-Mixed'!$A$20,VLOOKUP(A160,'800'!$A$7:$AB$188,16,FALSE),IF($C$1='Adj-Mixed'!$A$19,VLOOKUP(A160,'800'!$A$7:$AB$188,25,FALSE)))))</f>
        <v>3.3229894361476662</v>
      </c>
      <c r="G160" s="26">
        <f t="shared" si="32"/>
        <v>319.28621819735434</v>
      </c>
      <c r="H160" s="1"/>
      <c r="I160" s="127">
        <f t="shared" si="25"/>
        <v>206.27243250456482</v>
      </c>
      <c r="J160" s="25">
        <f>IF(A160&gt;200,"",(C160*'Adj-Mixed'!$C$6))</f>
        <v>1344.560118341167</v>
      </c>
      <c r="K160" s="26">
        <f>IF(A160&gt;200,"",D160*'Adj-Mixed'!$C$7)</f>
        <v>0.16147529434085464</v>
      </c>
      <c r="L160" s="1">
        <f t="shared" si="26"/>
        <v>6.1928978304824884</v>
      </c>
      <c r="M160" s="26">
        <f t="shared" si="27"/>
        <v>8.3267234398282923</v>
      </c>
      <c r="N160" s="115">
        <f t="shared" si="31"/>
        <v>799.83127726100906</v>
      </c>
    </row>
    <row r="161" spans="1:14" x14ac:dyDescent="0.25">
      <c r="A161" s="22">
        <f t="shared" si="28"/>
        <v>179</v>
      </c>
      <c r="B161" s="27">
        <f>IF(A161&gt;200,"",IF($C$1='Adj-Mixed'!$A$21,VLOOKUP(A161,'800'!$A$6:$AB$188,4,FALSE),IF($C$1='Adj-Mixed'!$A$20,VLOOKUP(A161,'800'!$A$6:$AB$188,13,FALSE),IF($C$1='Adj-Mixed'!$A$19,VLOOKUP(A161,'800'!$A$6:$AB$188,22,FALSE)))))</f>
        <v>130.59330471101231</v>
      </c>
      <c r="C161" s="25">
        <f t="shared" si="29"/>
        <v>851.82119266551126</v>
      </c>
      <c r="D161" s="26">
        <f t="shared" si="30"/>
        <v>0.25606058120749903</v>
      </c>
      <c r="E161" s="26">
        <f>IF(A161&gt;200,"",IF($C$1='Adj-Mixed'!$A$21,VLOOKUP(A161,'800'!$A$7:$AB$188,10,FALSE),IF($C$1='Adj-Mixed'!$A$20,VLOOKUP(A161,'800'!$A$7:$AB$188,19,FALSE),IF($C$1='Adj-Mixed'!$A$19,VLOOKUP(A161,'800'!$A$7:$AB$188,28,FALSE)))))</f>
        <v>3.9053258228358416</v>
      </c>
      <c r="F161" s="26">
        <f>IF(A161&gt;200,"",IF($C$1='Adj-Mixed'!$A$21,VLOOKUP(A161,'800'!$A$7:$AB$188,7,FALSE),IF($C$1='Adj-Mixed'!$A$20,VLOOKUP(A161,'800'!$A$7:$AB$188,16,FALSE),IF($C$1='Adj-Mixed'!$A$19,VLOOKUP(A161,'800'!$A$7:$AB$188,25,FALSE)))))</f>
        <v>3.3282697480907535</v>
      </c>
      <c r="G161" s="26">
        <f t="shared" si="32"/>
        <v>322.61448794544509</v>
      </c>
      <c r="H161" s="1"/>
      <c r="I161" s="127">
        <f t="shared" si="25"/>
        <v>207.61122739645825</v>
      </c>
      <c r="J161" s="25">
        <f>IF(A161&gt;200,"",(C161*'Adj-Mixed'!$C$6))</f>
        <v>1338.7948918934244</v>
      </c>
      <c r="K161" s="26">
        <f>IF(A161&gt;200,"",D161*'Adj-Mixed'!$C$7)</f>
        <v>0.16052491745849296</v>
      </c>
      <c r="L161" s="1">
        <f t="shared" si="26"/>
        <v>6.2295624619060819</v>
      </c>
      <c r="M161" s="26">
        <f t="shared" si="27"/>
        <v>8.3401064027308891</v>
      </c>
      <c r="N161" s="115">
        <f t="shared" si="31"/>
        <v>808.1713836637399</v>
      </c>
    </row>
    <row r="162" spans="1:14" x14ac:dyDescent="0.25">
      <c r="A162" s="22">
        <f t="shared" si="28"/>
        <v>180</v>
      </c>
      <c r="B162" s="27">
        <f>IF(A162&gt;200,"",IF($C$1='Adj-Mixed'!$A$21,VLOOKUP(A162,'800'!$A$6:$AB$188,4,FALSE),IF($C$1='Adj-Mixed'!$A$20,VLOOKUP(A162,'800'!$A$6:$AB$188,13,FALSE),IF($C$1='Adj-Mixed'!$A$19,VLOOKUP(A162,'800'!$A$6:$AB$188,22,FALSE)))))</f>
        <v>131.4414341922548</v>
      </c>
      <c r="C162" s="25">
        <f t="shared" si="29"/>
        <v>848.12948124249488</v>
      </c>
      <c r="D162" s="26">
        <f t="shared" si="30"/>
        <v>0.25455084616872337</v>
      </c>
      <c r="E162" s="26">
        <f>IF(A162&gt;200,"",IF($C$1='Adj-Mixed'!$A$21,VLOOKUP(A162,'800'!$A$7:$AB$188,10,FALSE),IF($C$1='Adj-Mixed'!$A$20,VLOOKUP(A162,'800'!$A$7:$AB$188,19,FALSE),IF($C$1='Adj-Mixed'!$A$19,VLOOKUP(A162,'800'!$A$7:$AB$188,28,FALSE)))))</f>
        <v>3.9284882177809464</v>
      </c>
      <c r="F162" s="26">
        <f>IF(A162&gt;200,"",IF($C$1='Adj-Mixed'!$A$21,VLOOKUP(A162,'800'!$A$7:$AB$188,7,FALSE),IF($C$1='Adj-Mixed'!$A$20,VLOOKUP(A162,'800'!$A$7:$AB$188,16,FALSE),IF($C$1='Adj-Mixed'!$A$19,VLOOKUP(A162,'800'!$A$7:$AB$188,25,FALSE)))))</f>
        <v>3.3334390781192162</v>
      </c>
      <c r="G162" s="26">
        <f t="shared" si="32"/>
        <v>325.94792702356432</v>
      </c>
      <c r="H162" s="1"/>
      <c r="I162" s="127">
        <f t="shared" si="25"/>
        <v>208.94422007958059</v>
      </c>
      <c r="J162" s="25">
        <f>IF(A162&gt;200,"",(C162*'Adj-Mixed'!$C$6))</f>
        <v>1332.9926831223404</v>
      </c>
      <c r="K162" s="26">
        <f>IF(A162&gt;200,"",D162*'Adj-Mixed'!$C$7)</f>
        <v>0.15957846138414988</v>
      </c>
      <c r="L162" s="1">
        <f t="shared" si="26"/>
        <v>6.2665098493005331</v>
      </c>
      <c r="M162" s="26">
        <f t="shared" si="27"/>
        <v>8.3532117778316906</v>
      </c>
      <c r="N162" s="115">
        <f t="shared" si="31"/>
        <v>816.52459544157159</v>
      </c>
    </row>
    <row r="163" spans="1:14" x14ac:dyDescent="0.25">
      <c r="A163" s="22">
        <f t="shared" si="28"/>
        <v>181</v>
      </c>
      <c r="B163" s="27">
        <f>IF(A163&gt;200,"",IF($C$1='Adj-Mixed'!$A$21,VLOOKUP(A163,'800'!$A$6:$AB$188,4,FALSE),IF($C$1='Adj-Mixed'!$A$20,VLOOKUP(A163,'800'!$A$6:$AB$188,13,FALSE),IF($C$1='Adj-Mixed'!$A$19,VLOOKUP(A163,'800'!$A$6:$AB$188,22,FALSE)))))</f>
        <v>132.28584957330429</v>
      </c>
      <c r="C163" s="25">
        <f t="shared" si="29"/>
        <v>844.41538104948677</v>
      </c>
      <c r="D163" s="26">
        <f t="shared" si="30"/>
        <v>0.25304732964635346</v>
      </c>
      <c r="E163" s="26">
        <f>IF(A163&gt;200,"",IF($C$1='Adj-Mixed'!$A$21,VLOOKUP(A163,'800'!$A$7:$AB$188,10,FALSE),IF($C$1='Adj-Mixed'!$A$20,VLOOKUP(A163,'800'!$A$7:$AB$188,19,FALSE),IF($C$1='Adj-Mixed'!$A$19,VLOOKUP(A163,'800'!$A$7:$AB$188,28,FALSE)))))</f>
        <v>3.9518298865178743</v>
      </c>
      <c r="F163" s="26">
        <f>IF(A163&gt;200,"",IF($C$1='Adj-Mixed'!$A$21,VLOOKUP(A163,'800'!$A$7:$AB$188,7,FALSE),IF($C$1='Adj-Mixed'!$A$20,VLOOKUP(A163,'800'!$A$7:$AB$188,16,FALSE),IF($C$1='Adj-Mixed'!$A$19,VLOOKUP(A163,'800'!$A$7:$AB$188,25,FALSE)))))</f>
        <v>3.338500033134272</v>
      </c>
      <c r="G163" s="26">
        <f t="shared" si="32"/>
        <v>329.28642705669859</v>
      </c>
      <c r="H163" s="1"/>
      <c r="I163" s="127">
        <f t="shared" si="25"/>
        <v>210.27137536582998</v>
      </c>
      <c r="J163" s="25">
        <f>IF(A163&gt;200,"",(C163*'Adj-Mixed'!$C$6))</f>
        <v>1327.1552862493888</v>
      </c>
      <c r="K163" s="26">
        <f>IF(A163&gt;200,"",D163*'Adj-Mixed'!$C$7)</f>
        <v>0.15863590371083378</v>
      </c>
      <c r="L163" s="1">
        <f t="shared" si="26"/>
        <v>6.3037432044566</v>
      </c>
      <c r="M163" s="26">
        <f t="shared" si="27"/>
        <v>8.366046116953239</v>
      </c>
      <c r="N163" s="115">
        <f t="shared" si="31"/>
        <v>824.89064155852486</v>
      </c>
    </row>
    <row r="164" spans="1:14" x14ac:dyDescent="0.25">
      <c r="A164" s="22">
        <f t="shared" si="28"/>
        <v>182</v>
      </c>
      <c r="B164" s="27">
        <f>IF(A164&gt;200,"",IF($C$1='Adj-Mixed'!$A$21,VLOOKUP(A164,'800'!$A$6:$AB$188,4,FALSE),IF($C$1='Adj-Mixed'!$A$20,VLOOKUP(A164,'800'!$A$6:$AB$188,13,FALSE),IF($C$1='Adj-Mixed'!$A$19,VLOOKUP(A164,'800'!$A$6:$AB$188,22,FALSE)))))</f>
        <v>133.12652958580298</v>
      </c>
      <c r="C164" s="25">
        <f t="shared" si="29"/>
        <v>840.6800124986944</v>
      </c>
      <c r="D164" s="26">
        <f t="shared" si="30"/>
        <v>0.25155000007375738</v>
      </c>
      <c r="E164" s="26">
        <f>IF(A164&gt;200,"",IF($C$1='Adj-Mixed'!$A$21,VLOOKUP(A164,'800'!$A$7:$AB$188,10,FALSE),IF($C$1='Adj-Mixed'!$A$20,VLOOKUP(A164,'800'!$A$7:$AB$188,19,FALSE),IF($C$1='Adj-Mixed'!$A$19,VLOOKUP(A164,'800'!$A$7:$AB$188,28,FALSE)))))</f>
        <v>3.9753528113964949</v>
      </c>
      <c r="F164" s="26">
        <f>IF(A164&gt;200,"",IF($C$1='Adj-Mixed'!$A$21,VLOOKUP(A164,'800'!$A$7:$AB$188,7,FALSE),IF($C$1='Adj-Mixed'!$A$20,VLOOKUP(A164,'800'!$A$7:$AB$188,16,FALSE),IF($C$1='Adj-Mixed'!$A$19,VLOOKUP(A164,'800'!$A$7:$AB$188,25,FALSE)))))</f>
        <v>3.3434551606283049</v>
      </c>
      <c r="G164" s="26">
        <f t="shared" si="32"/>
        <v>332.62988221732689</v>
      </c>
      <c r="H164" s="1"/>
      <c r="I164" s="127">
        <f t="shared" ref="I164:I185" si="33">IF(A164&gt;200,"",I163+(J164/1000))</f>
        <v>211.59265982804001</v>
      </c>
      <c r="J164" s="25">
        <f>IF(A164&gt;200,"",(C164*'Adj-Mixed'!$C$6))</f>
        <v>1321.2844622100251</v>
      </c>
      <c r="K164" s="26">
        <f>IF(A164&gt;200,"",D164*'Adj-Mixed'!$C$7)</f>
        <v>0.15769722464935665</v>
      </c>
      <c r="L164" s="1">
        <f t="shared" ref="L164:L185" si="34">IF(A164&gt;200,"",1/K164)</f>
        <v>6.341265689510533</v>
      </c>
      <c r="M164" s="26">
        <f t="shared" ref="M164:M185" si="35">IF(A164&gt;200,"",(J164/1000)/K164)</f>
        <v>8.3786158262958086</v>
      </c>
      <c r="N164" s="115">
        <f t="shared" si="31"/>
        <v>833.26925738482066</v>
      </c>
    </row>
    <row r="165" spans="1:14" x14ac:dyDescent="0.25">
      <c r="A165" s="22">
        <f t="shared" si="28"/>
        <v>183</v>
      </c>
      <c r="B165" s="27">
        <f>IF(A165&gt;200,"",IF($C$1='Adj-Mixed'!$A$21,VLOOKUP(A165,'800'!$A$6:$AB$188,4,FALSE),IF($C$1='Adj-Mixed'!$A$20,VLOOKUP(A165,'800'!$A$6:$AB$188,13,FALSE),IF($C$1='Adj-Mixed'!$A$19,VLOOKUP(A165,'800'!$A$6:$AB$188,22,FALSE)))))</f>
        <v>133.96345406073181</v>
      </c>
      <c r="C165" s="25">
        <f t="shared" si="29"/>
        <v>836.92447492882138</v>
      </c>
      <c r="D165" s="26">
        <f t="shared" si="30"/>
        <v>0.25005882980946248</v>
      </c>
      <c r="E165" s="26">
        <f>IF(A165&gt;200,"",IF($C$1='Adj-Mixed'!$A$21,VLOOKUP(A165,'800'!$A$7:$AB$188,10,FALSE),IF($C$1='Adj-Mixed'!$A$20,VLOOKUP(A165,'800'!$A$7:$AB$188,19,FALSE),IF($C$1='Adj-Mixed'!$A$19,VLOOKUP(A165,'800'!$A$7:$AB$188,28,FALSE)))))</f>
        <v>3.9990589444970643</v>
      </c>
      <c r="F165" s="26">
        <f>IF(A165&gt;200,"",IF($C$1='Adj-Mixed'!$A$21,VLOOKUP(A165,'800'!$A$7:$AB$188,7,FALSE),IF($C$1='Adj-Mixed'!$A$20,VLOOKUP(A165,'800'!$A$7:$AB$188,16,FALSE),IF($C$1='Adj-Mixed'!$A$19,VLOOKUP(A165,'800'!$A$7:$AB$188,25,FALSE)))))</f>
        <v>3.34830694960361</v>
      </c>
      <c r="G165" s="26">
        <f t="shared" si="32"/>
        <v>335.97818916693052</v>
      </c>
      <c r="H165" s="1"/>
      <c r="I165" s="127">
        <f t="shared" si="33"/>
        <v>212.90804176685879</v>
      </c>
      <c r="J165" s="25">
        <f>IF(A165&gt;200,"",(C165*'Adj-Mixed'!$C$6))</f>
        <v>1315.3819388187878</v>
      </c>
      <c r="K165" s="26">
        <f>IF(A165&gt;200,"",D165*'Adj-Mixed'!$C$7)</f>
        <v>0.15676240687122106</v>
      </c>
      <c r="L165" s="1">
        <f t="shared" si="34"/>
        <v>6.3790804183141381</v>
      </c>
      <c r="M165" s="26">
        <f t="shared" si="35"/>
        <v>8.3909271685230156</v>
      </c>
      <c r="N165" s="115">
        <f t="shared" ref="N165:N185" si="36">IF(A165&gt;200,"",N164+M165)</f>
        <v>841.6601845533437</v>
      </c>
    </row>
    <row r="166" spans="1:14" x14ac:dyDescent="0.25">
      <c r="A166" s="22">
        <f t="shared" si="28"/>
        <v>184</v>
      </c>
      <c r="B166" s="27">
        <f>IF(A166&gt;200,"",IF($C$1='Adj-Mixed'!$A$21,VLOOKUP(A166,'800'!$A$6:$AB$188,4,FALSE),IF($C$1='Adj-Mixed'!$A$20,VLOOKUP(A166,'800'!$A$6:$AB$188,13,FALSE),IF($C$1='Adj-Mixed'!$A$19,VLOOKUP(A166,'800'!$A$6:$AB$188,22,FALSE)))))</f>
        <v>134.79660390745215</v>
      </c>
      <c r="C166" s="25">
        <f t="shared" si="29"/>
        <v>833.14984672034598</v>
      </c>
      <c r="D166" s="26">
        <f t="shared" si="30"/>
        <v>0.24857379489615372</v>
      </c>
      <c r="E166" s="26">
        <f>IF(A166&gt;200,"",IF($C$1='Adj-Mixed'!$A$21,VLOOKUP(A166,'800'!$A$7:$AB$188,10,FALSE),IF($C$1='Adj-Mixed'!$A$20,VLOOKUP(A166,'800'!$A$7:$AB$188,19,FALSE),IF($C$1='Adj-Mixed'!$A$19,VLOOKUP(A166,'800'!$A$7:$AB$188,28,FALSE)))))</f>
        <v>4.0229502084794113</v>
      </c>
      <c r="F166" s="26">
        <f>IF(A166&gt;200,"",IF($C$1='Adj-Mixed'!$A$21,VLOOKUP(A166,'800'!$A$7:$AB$188,7,FALSE),IF($C$1='Adj-Mixed'!$A$20,VLOOKUP(A166,'800'!$A$7:$AB$188,16,FALSE),IF($C$1='Adj-Mixed'!$A$19,VLOOKUP(A166,'800'!$A$7:$AB$188,25,FALSE)))))</f>
        <v>3.3530578315123094</v>
      </c>
      <c r="G166" s="26">
        <f t="shared" si="32"/>
        <v>339.33124699844285</v>
      </c>
      <c r="H166" s="1"/>
      <c r="I166" s="127">
        <f t="shared" si="33"/>
        <v>214.21749117780928</v>
      </c>
      <c r="J166" s="25">
        <f>IF(A166&gt;200,"",(C166*'Adj-Mixed'!$C$6))</f>
        <v>1309.4494109504794</v>
      </c>
      <c r="K166" s="26">
        <f>IF(A166&gt;200,"",D166*'Adj-Mixed'!$C$7)</f>
        <v>0.15583143535753582</v>
      </c>
      <c r="L166" s="1">
        <f t="shared" si="34"/>
        <v>6.4171904577893706</v>
      </c>
      <c r="M166" s="26">
        <f t="shared" si="35"/>
        <v>8.4029862649093285</v>
      </c>
      <c r="N166" s="115">
        <f t="shared" si="36"/>
        <v>850.06317081825307</v>
      </c>
    </row>
    <row r="167" spans="1:14" x14ac:dyDescent="0.25">
      <c r="A167" s="22">
        <f t="shared" si="28"/>
        <v>185</v>
      </c>
      <c r="B167" s="27">
        <f>IF(A167&gt;200,"",IF($C$1='Adj-Mixed'!$A$21,VLOOKUP(A167,'800'!$A$6:$AB$188,4,FALSE),IF($C$1='Adj-Mixed'!$A$20,VLOOKUP(A167,'800'!$A$6:$AB$188,13,FALSE),IF($C$1='Adj-Mixed'!$A$19,VLOOKUP(A167,'800'!$A$6:$AB$188,22,FALSE)))))</f>
        <v>135.62596109287199</v>
      </c>
      <c r="C167" s="25">
        <f t="shared" si="29"/>
        <v>829.35718541983761</v>
      </c>
      <c r="D167" s="26">
        <f t="shared" si="30"/>
        <v>0.24709487482916709</v>
      </c>
      <c r="E167" s="26">
        <f>IF(A167&gt;200,"",IF($C$1='Adj-Mixed'!$A$21,VLOOKUP(A167,'800'!$A$7:$AB$188,10,FALSE),IF($C$1='Adj-Mixed'!$A$20,VLOOKUP(A167,'800'!$A$7:$AB$188,19,FALSE),IF($C$1='Adj-Mixed'!$A$19,VLOOKUP(A167,'800'!$A$7:$AB$188,28,FALSE)))))</f>
        <v>4.0470284974197286</v>
      </c>
      <c r="F167" s="26">
        <f>IF(A167&gt;200,"",IF($C$1='Adj-Mixed'!$A$21,VLOOKUP(A167,'800'!$A$7:$AB$188,7,FALSE),IF($C$1='Adj-Mixed'!$A$20,VLOOKUP(A167,'800'!$A$7:$AB$188,16,FALSE),IF($C$1='Adj-Mixed'!$A$19,VLOOKUP(A167,'800'!$A$7:$AB$188,25,FALSE)))))</f>
        <v>3.3577101812142112</v>
      </c>
      <c r="G167" s="26">
        <f t="shared" si="32"/>
        <v>342.68895717965705</v>
      </c>
      <c r="H167" s="1"/>
      <c r="I167" s="127">
        <f t="shared" si="33"/>
        <v>215.52097971854482</v>
      </c>
      <c r="J167" s="25">
        <f>IF(A167&gt;200,"",(C167*'Adj-Mixed'!$C$6))</f>
        <v>1303.4885407355537</v>
      </c>
      <c r="K167" s="26">
        <f>IF(A167&gt;200,"",D167*'Adj-Mixed'!$C$7)</f>
        <v>0.15490429725388385</v>
      </c>
      <c r="L167" s="1">
        <f t="shared" si="34"/>
        <v>6.4555988292631268</v>
      </c>
      <c r="M167" s="26">
        <f t="shared" si="35"/>
        <v>8.4147990975303415</v>
      </c>
      <c r="N167" s="115">
        <f t="shared" si="36"/>
        <v>858.47796991578343</v>
      </c>
    </row>
    <row r="168" spans="1:14" x14ac:dyDescent="0.25">
      <c r="A168" s="22">
        <f t="shared" si="28"/>
        <v>186</v>
      </c>
      <c r="B168" s="27">
        <f>IF(A168&gt;200,"",IF($C$1='Adj-Mixed'!$A$21,VLOOKUP(A168,'800'!$A$6:$AB$188,4,FALSE),IF($C$1='Adj-Mixed'!$A$20,VLOOKUP(A168,'800'!$A$6:$AB$188,13,FALSE),IF($C$1='Adj-Mixed'!$A$19,VLOOKUP(A168,'800'!$A$6:$AB$188,22,FALSE)))))</f>
        <v>136.45150862074613</v>
      </c>
      <c r="C168" s="25">
        <f t="shared" si="29"/>
        <v>825.54752787413577</v>
      </c>
      <c r="D168" s="26">
        <f t="shared" si="30"/>
        <v>0.24562205233415713</v>
      </c>
      <c r="E168" s="26">
        <f>IF(A168&gt;200,"",IF($C$1='Adj-Mixed'!$A$21,VLOOKUP(A168,'800'!$A$7:$AB$188,10,FALSE),IF($C$1='Adj-Mixed'!$A$20,VLOOKUP(A168,'800'!$A$7:$AB$188,19,FALSE),IF($C$1='Adj-Mixed'!$A$19,VLOOKUP(A168,'800'!$A$7:$AB$188,28,FALSE)))))</f>
        <v>4.0712956776354412</v>
      </c>
      <c r="F168" s="26">
        <f>IF(A168&gt;200,"",IF($C$1='Adj-Mixed'!$A$21,VLOOKUP(A168,'800'!$A$7:$AB$188,7,FALSE),IF($C$1='Adj-Mixed'!$A$20,VLOOKUP(A168,'800'!$A$7:$AB$188,16,FALSE),IF($C$1='Adj-Mixed'!$A$19,VLOOKUP(A168,'800'!$A$7:$AB$188,25,FALSE)))))</f>
        <v>3.362266317949544</v>
      </c>
      <c r="G168" s="26">
        <f t="shared" si="32"/>
        <v>346.0512234976066</v>
      </c>
      <c r="H168" s="1"/>
      <c r="I168" s="127">
        <f t="shared" si="33"/>
        <v>216.81848067631583</v>
      </c>
      <c r="J168" s="25">
        <f>IF(A168&gt;200,"",(C168*'Adj-Mixed'!$C$6))</f>
        <v>1297.5009577710011</v>
      </c>
      <c r="K168" s="26">
        <f>IF(A168&gt;200,"",D168*'Adj-Mixed'!$C$7)</f>
        <v>0.15398098173094166</v>
      </c>
      <c r="L168" s="1">
        <f t="shared" si="34"/>
        <v>6.494308509783032</v>
      </c>
      <c r="M168" s="26">
        <f t="shared" si="35"/>
        <v>8.4263715115038469</v>
      </c>
      <c r="N168" s="115">
        <f t="shared" si="36"/>
        <v>866.90434142728725</v>
      </c>
    </row>
    <row r="169" spans="1:14" x14ac:dyDescent="0.25">
      <c r="A169" s="22">
        <f t="shared" si="28"/>
        <v>187</v>
      </c>
      <c r="B169" s="27">
        <f>IF(A169&gt;200,"",IF($C$1='Adj-Mixed'!$A$21,VLOOKUP(A169,'800'!$A$6:$AB$188,4,FALSE),IF($C$1='Adj-Mixed'!$A$20,VLOOKUP(A169,'800'!$A$6:$AB$188,13,FALSE),IF($C$1='Adj-Mixed'!$A$19,VLOOKUP(A169,'800'!$A$6:$AB$188,22,FALSE)))))</f>
        <v>137.27323051111918</v>
      </c>
      <c r="C169" s="25">
        <f t="shared" si="29"/>
        <v>821.72189037305543</v>
      </c>
      <c r="D169" s="26">
        <f t="shared" si="30"/>
        <v>0.24415531315388692</v>
      </c>
      <c r="E169" s="26">
        <f>IF(A169&gt;200,"",IF($C$1='Adj-Mixed'!$A$21,VLOOKUP(A169,'800'!$A$7:$AB$188,10,FALSE),IF($C$1='Adj-Mixed'!$A$20,VLOOKUP(A169,'800'!$A$7:$AB$188,19,FALSE),IF($C$1='Adj-Mixed'!$A$19,VLOOKUP(A169,'800'!$A$7:$AB$188,28,FALSE)))))</f>
        <v>4.0957535884943743</v>
      </c>
      <c r="F169" s="26">
        <f>IF(A169&gt;200,"",IF($C$1='Adj-Mixed'!$A$21,VLOOKUP(A169,'800'!$A$7:$AB$188,7,FALSE),IF($C$1='Adj-Mixed'!$A$20,VLOOKUP(A169,'800'!$A$7:$AB$188,16,FALSE),IF($C$1='Adj-Mixed'!$A$19,VLOOKUP(A169,'800'!$A$7:$AB$188,25,FALSE)))))</f>
        <v>3.3667285063237413</v>
      </c>
      <c r="G169" s="26">
        <f t="shared" si="32"/>
        <v>349.41795200393034</v>
      </c>
      <c r="H169" s="1"/>
      <c r="I169" s="127">
        <f t="shared" si="33"/>
        <v>218.10996893566048</v>
      </c>
      <c r="J169" s="25">
        <f>IF(A169&gt;200,"",(C169*'Adj-Mixed'!$C$6))</f>
        <v>1291.4882593446384</v>
      </c>
      <c r="K169" s="26">
        <f>IF(A169&gt;200,"",D169*'Adj-Mixed'!$C$7)</f>
        <v>0.15306147985081739</v>
      </c>
      <c r="L169" s="1">
        <f t="shared" si="34"/>
        <v>6.5333224334081841</v>
      </c>
      <c r="M169" s="26">
        <f t="shared" si="35"/>
        <v>8.4377092172596129</v>
      </c>
      <c r="N169" s="115">
        <f t="shared" si="36"/>
        <v>875.34205064454682</v>
      </c>
    </row>
    <row r="170" spans="1:14" x14ac:dyDescent="0.25">
      <c r="A170" s="22">
        <f t="shared" si="28"/>
        <v>188</v>
      </c>
      <c r="B170" s="27">
        <f>IF(A170&gt;200,"",IF($C$1='Adj-Mixed'!$A$21,VLOOKUP(A170,'800'!$A$6:$AB$188,4,FALSE),IF($C$1='Adj-Mixed'!$A$20,VLOOKUP(A170,'800'!$A$6:$AB$188,13,FALSE),IF($C$1='Adj-Mixed'!$A$19,VLOOKUP(A170,'800'!$A$6:$AB$188,22,FALSE)))))</f>
        <v>138.09111177991946</v>
      </c>
      <c r="C170" s="25">
        <f t="shared" si="29"/>
        <v>817.88126880027789</v>
      </c>
      <c r="D170" s="26">
        <f t="shared" si="30"/>
        <v>0.24269464584353645</v>
      </c>
      <c r="E170" s="26">
        <f>IF(A170&gt;200,"",IF($C$1='Adj-Mixed'!$A$21,VLOOKUP(A170,'800'!$A$7:$AB$188,10,FALSE),IF($C$1='Adj-Mixed'!$A$20,VLOOKUP(A170,'800'!$A$7:$AB$188,19,FALSE),IF($C$1='Adj-Mixed'!$A$19,VLOOKUP(A170,'800'!$A$7:$AB$188,28,FALSE)))))</f>
        <v>4.1204040432135987</v>
      </c>
      <c r="F170" s="26">
        <f>IF(A170&gt;200,"",IF($C$1='Adj-Mixed'!$A$21,VLOOKUP(A170,'800'!$A$7:$AB$188,7,FALSE),IF($C$1='Adj-Mixed'!$A$20,VLOOKUP(A170,'800'!$A$7:$AB$188,16,FALSE),IF($C$1='Adj-Mixed'!$A$19,VLOOKUP(A170,'800'!$A$7:$AB$188,25,FALSE)))))</f>
        <v>3.3710989573016277</v>
      </c>
      <c r="G170" s="26">
        <f t="shared" si="32"/>
        <v>352.78905096123196</v>
      </c>
      <c r="H170" s="1"/>
      <c r="I170" s="127">
        <f t="shared" si="33"/>
        <v>219.39542094633273</v>
      </c>
      <c r="J170" s="25">
        <f>IF(A170&gt;200,"",(C170*'Adj-Mixed'!$C$6))</f>
        <v>1285.4520106722609</v>
      </c>
      <c r="K170" s="26">
        <f>IF(A170&gt;200,"",D170*'Adj-Mixed'!$C$7)</f>
        <v>0.15214578443872925</v>
      </c>
      <c r="L170" s="1">
        <f t="shared" si="34"/>
        <v>6.5726434924834267</v>
      </c>
      <c r="M170" s="26">
        <f t="shared" si="35"/>
        <v>8.4488177928447712</v>
      </c>
      <c r="N170" s="115">
        <f t="shared" si="36"/>
        <v>883.79086843739162</v>
      </c>
    </row>
    <row r="171" spans="1:14" x14ac:dyDescent="0.25">
      <c r="A171" s="22">
        <f t="shared" si="28"/>
        <v>189</v>
      </c>
      <c r="B171" s="27">
        <f>IF(A171&gt;200,"",IF($C$1='Adj-Mixed'!$A$21,VLOOKUP(A171,'800'!$A$6:$AB$188,4,FALSE),IF($C$1='Adj-Mixed'!$A$20,VLOOKUP(A171,'800'!$A$6:$AB$188,13,FALSE),IF($C$1='Adj-Mixed'!$A$19,VLOOKUP(A171,'800'!$A$6:$AB$188,22,FALSE)))))</f>
        <v>138.9051384187116</v>
      </c>
      <c r="C171" s="25">
        <f t="shared" si="29"/>
        <v>814.02663879214288</v>
      </c>
      <c r="D171" s="26">
        <f t="shared" si="30"/>
        <v>0.24124004157467896</v>
      </c>
      <c r="E171" s="26">
        <f>IF(A171&gt;200,"",IF($C$1='Adj-Mixed'!$A$21,VLOOKUP(A171,'800'!$A$7:$AB$188,10,FALSE),IF($C$1='Adj-Mixed'!$A$20,VLOOKUP(A171,'800'!$A$7:$AB$188,19,FALSE),IF($C$1='Adj-Mixed'!$A$19,VLOOKUP(A171,'800'!$A$7:$AB$188,28,FALSE)))))</f>
        <v>4.1452488296410657</v>
      </c>
      <c r="F171" s="26">
        <f>IF(A171&gt;200,"",IF($C$1='Adj-Mixed'!$A$21,VLOOKUP(A171,'800'!$A$7:$AB$188,7,FALSE),IF($C$1='Adj-Mixed'!$A$20,VLOOKUP(A171,'800'!$A$7:$AB$188,16,FALSE),IF($C$1='Adj-Mixed'!$A$19,VLOOKUP(A171,'800'!$A$7:$AB$188,25,FALSE)))))</f>
        <v>3.3753798292085531</v>
      </c>
      <c r="G171" s="26">
        <f t="shared" si="32"/>
        <v>356.16443079044052</v>
      </c>
      <c r="H171" s="1"/>
      <c r="I171" s="127">
        <f t="shared" si="33"/>
        <v>220.67481469147995</v>
      </c>
      <c r="J171" s="25">
        <f>IF(A171&gt;200,"",(C171*'Adj-Mixed'!$C$6))</f>
        <v>1279.3937451472134</v>
      </c>
      <c r="K171" s="26">
        <f>IF(A171&gt;200,"",D171*'Adj-Mixed'!$C$7)</f>
        <v>0.15123388996011794</v>
      </c>
      <c r="L171" s="1">
        <f t="shared" si="34"/>
        <v>6.6122745388861661</v>
      </c>
      <c r="M171" s="26">
        <f t="shared" si="35"/>
        <v>8.4597026862471356</v>
      </c>
      <c r="N171" s="115">
        <f t="shared" si="36"/>
        <v>892.25057112363879</v>
      </c>
    </row>
    <row r="172" spans="1:14" x14ac:dyDescent="0.25">
      <c r="A172" s="22">
        <f t="shared" si="28"/>
        <v>190</v>
      </c>
      <c r="B172" s="27">
        <f>IF(A172&gt;200,"",IF($C$1='Adj-Mixed'!$A$21,VLOOKUP(A172,'800'!$A$6:$AB$188,4,FALSE),IF($C$1='Adj-Mixed'!$A$20,VLOOKUP(A172,'800'!$A$6:$AB$188,13,FALSE),IF($C$1='Adj-Mixed'!$A$19,VLOOKUP(A172,'800'!$A$6:$AB$188,22,FALSE)))))</f>
        <v>139.71529737461515</v>
      </c>
      <c r="C172" s="25">
        <f t="shared" si="29"/>
        <v>810.15895590354603</v>
      </c>
      <c r="D172" s="26">
        <f t="shared" si="30"/>
        <v>0.23979149394730334</v>
      </c>
      <c r="E172" s="26">
        <f>IF(A172&gt;200,"",IF($C$1='Adj-Mixed'!$A$21,VLOOKUP(A172,'800'!$A$7:$AB$188,10,FALSE),IF($C$1='Adj-Mixed'!$A$20,VLOOKUP(A172,'800'!$A$7:$AB$188,19,FALSE),IF($C$1='Adj-Mixed'!$A$19,VLOOKUP(A172,'800'!$A$7:$AB$188,28,FALSE)))))</f>
        <v>4.1702897110260313</v>
      </c>
      <c r="F172" s="26">
        <f>IF(A172&gt;200,"",IF($C$1='Adj-Mixed'!$A$21,VLOOKUP(A172,'800'!$A$7:$AB$188,7,FALSE),IF($C$1='Adj-Mixed'!$A$20,VLOOKUP(A172,'800'!$A$7:$AB$188,16,FALSE),IF($C$1='Adj-Mixed'!$A$19,VLOOKUP(A172,'800'!$A$7:$AB$188,25,FALSE)))))</f>
        <v>3.3795732287361924</v>
      </c>
      <c r="G172" s="26">
        <f t="shared" si="32"/>
        <v>359.54400401917673</v>
      </c>
      <c r="H172" s="1"/>
      <c r="I172" s="127">
        <f t="shared" si="33"/>
        <v>221.94812965608108</v>
      </c>
      <c r="J172" s="25">
        <f>IF(A172&gt;200,"",(C172*'Adj-Mixed'!$C$6))</f>
        <v>1273.3149646011295</v>
      </c>
      <c r="K172" s="26">
        <f>IF(A172&gt;200,"",D172*'Adj-Mixed'!$C$7)</f>
        <v>0.15032579240280303</v>
      </c>
      <c r="L172" s="1">
        <f t="shared" si="34"/>
        <v>6.6522183852553143</v>
      </c>
      <c r="M172" s="26">
        <f t="shared" si="35"/>
        <v>8.4703692177403536</v>
      </c>
      <c r="N172" s="115">
        <f t="shared" si="36"/>
        <v>900.72094034137911</v>
      </c>
    </row>
    <row r="173" spans="1:14" x14ac:dyDescent="0.25">
      <c r="A173" s="22">
        <f t="shared" si="28"/>
        <v>191</v>
      </c>
      <c r="B173" s="27">
        <f>IF(A173&gt;200,"",IF($C$1='Adj-Mixed'!$A$21,VLOOKUP(A173,'800'!$A$6:$AB$188,4,FALSE),IF($C$1='Adj-Mixed'!$A$20,VLOOKUP(A173,'800'!$A$6:$AB$188,13,FALSE),IF($C$1='Adj-Mixed'!$A$19,VLOOKUP(A173,'800'!$A$6:$AB$188,22,FALSE)))))</f>
        <v>140.52157653039609</v>
      </c>
      <c r="C173" s="25">
        <f t="shared" si="29"/>
        <v>806.27915578094189</v>
      </c>
      <c r="D173" s="26">
        <f t="shared" si="30"/>
        <v>0.23834899881004545</v>
      </c>
      <c r="E173" s="26">
        <f>IF(A173&gt;200,"",IF($C$1='Adj-Mixed'!$A$21,VLOOKUP(A173,'800'!$A$7:$AB$188,10,FALSE),IF($C$1='Adj-Mixed'!$A$20,VLOOKUP(A173,'800'!$A$7:$AB$188,19,FALSE),IF($C$1='Adj-Mixed'!$A$19,VLOOKUP(A173,'800'!$A$7:$AB$188,28,FALSE)))))</f>
        <v>4.1955284267711974</v>
      </c>
      <c r="F173" s="26">
        <f>IF(A173&gt;200,"",IF($C$1='Adj-Mixed'!$A$21,VLOOKUP(A173,'800'!$A$7:$AB$188,7,FALSE),IF($C$1='Adj-Mixed'!$A$20,VLOOKUP(A173,'800'!$A$7:$AB$188,16,FALSE),IF($C$1='Adj-Mixed'!$A$19,VLOOKUP(A173,'800'!$A$7:$AB$188,25,FALSE)))))</f>
        <v>3.3836812119508961</v>
      </c>
      <c r="G173" s="26">
        <f t="shared" si="32"/>
        <v>362.92768523112761</v>
      </c>
      <c r="H173" s="1"/>
      <c r="I173" s="127">
        <f t="shared" si="33"/>
        <v>223.21534679565693</v>
      </c>
      <c r="J173" s="25">
        <f>IF(A173&gt;200,"",(C173*'Adj-Mixed'!$C$6))</f>
        <v>1267.2171395758376</v>
      </c>
      <c r="K173" s="26">
        <f>IF(A173&gt;200,"",D173*'Adj-Mixed'!$C$7)</f>
        <v>0.14942148916428558</v>
      </c>
      <c r="L173" s="1">
        <f t="shared" si="34"/>
        <v>6.6924778061910652</v>
      </c>
      <c r="M173" s="26">
        <f t="shared" si="35"/>
        <v>8.4808225822362182</v>
      </c>
      <c r="N173" s="115">
        <f t="shared" si="36"/>
        <v>909.20176292361532</v>
      </c>
    </row>
    <row r="174" spans="1:14" x14ac:dyDescent="0.25">
      <c r="A174" s="22">
        <f t="shared" si="28"/>
        <v>192</v>
      </c>
      <c r="B174" s="27">
        <f>IF(A174&gt;200,"",IF($C$1='Adj-Mixed'!$A$21,VLOOKUP(A174,'800'!$A$6:$AB$188,4,FALSE),IF($C$1='Adj-Mixed'!$A$20,VLOOKUP(A174,'800'!$A$6:$AB$188,13,FALSE),IF($C$1='Adj-Mixed'!$A$19,VLOOKUP(A174,'800'!$A$6:$AB$188,22,FALSE)))))</f>
        <v>141.32396468473812</v>
      </c>
      <c r="C174" s="25">
        <f t="shared" si="29"/>
        <v>802.38815434202593</v>
      </c>
      <c r="D174" s="26">
        <f t="shared" si="30"/>
        <v>0.23691255408796902</v>
      </c>
      <c r="E174" s="26">
        <f>IF(A174&gt;200,"",IF($C$1='Adj-Mixed'!$A$21,VLOOKUP(A174,'800'!$A$7:$AB$188,10,FALSE),IF($C$1='Adj-Mixed'!$A$20,VLOOKUP(A174,'800'!$A$7:$AB$188,19,FALSE),IF($C$1='Adj-Mixed'!$A$19,VLOOKUP(A174,'800'!$A$7:$AB$188,28,FALSE)))))</f>
        <v>4.2209666931735734</v>
      </c>
      <c r="F174" s="26">
        <f>IF(A174&gt;200,"",IF($C$1='Adj-Mixed'!$A$21,VLOOKUP(A174,'800'!$A$7:$AB$188,7,FALSE),IF($C$1='Adj-Mixed'!$A$20,VLOOKUP(A174,'800'!$A$7:$AB$188,16,FALSE),IF($C$1='Adj-Mixed'!$A$19,VLOOKUP(A174,'800'!$A$7:$AB$188,25,FALSE)))))</f>
        <v>3.3877057853026504</v>
      </c>
      <c r="G174" s="26">
        <f t="shared" si="32"/>
        <v>366.31539101643028</v>
      </c>
      <c r="H174" s="1"/>
      <c r="I174" s="127">
        <f t="shared" si="33"/>
        <v>224.47644850526268</v>
      </c>
      <c r="J174" s="25">
        <f>IF(A174&gt;200,"",(C174*'Adj-Mixed'!$C$6))</f>
        <v>1261.1017096057637</v>
      </c>
      <c r="K174" s="26">
        <f>IF(A174&gt;200,"",D174*'Adj-Mixed'!$C$7)</f>
        <v>0.14852097894378369</v>
      </c>
      <c r="L174" s="1">
        <f t="shared" si="34"/>
        <v>6.7330555394366716</v>
      </c>
      <c r="M174" s="26">
        <f t="shared" si="35"/>
        <v>8.4910678516541438</v>
      </c>
      <c r="N174" s="115">
        <f t="shared" si="36"/>
        <v>917.6928307752695</v>
      </c>
    </row>
    <row r="175" spans="1:14" x14ac:dyDescent="0.25">
      <c r="A175" s="22">
        <f t="shared" si="28"/>
        <v>193</v>
      </c>
      <c r="B175" s="27">
        <f>IF(A175&gt;200,"",IF($C$1='Adj-Mixed'!$A$21,VLOOKUP(A175,'800'!$A$6:$AB$188,4,FALSE),IF($C$1='Adj-Mixed'!$A$20,VLOOKUP(A175,'800'!$A$6:$AB$188,13,FALSE),IF($C$1='Adj-Mixed'!$A$19,VLOOKUP(A175,'800'!$A$6:$AB$188,22,FALSE)))))</f>
        <v>142.1224515326989</v>
      </c>
      <c r="C175" s="25">
        <f t="shared" si="29"/>
        <v>798.48684796078828</v>
      </c>
      <c r="D175" s="26">
        <f t="shared" si="30"/>
        <v>0.23548215961805138</v>
      </c>
      <c r="E175" s="26">
        <f>IF(A175&gt;200,"",IF($C$1='Adj-Mixed'!$A$21,VLOOKUP(A175,'800'!$A$7:$AB$188,10,FALSE),IF($C$1='Adj-Mixed'!$A$20,VLOOKUP(A175,'800'!$A$7:$AB$188,19,FALSE),IF($C$1='Adj-Mixed'!$A$19,VLOOKUP(A175,'800'!$A$7:$AB$188,28,FALSE)))))</f>
        <v>4.2466062041472075</v>
      </c>
      <c r="F175" s="26">
        <f>IF(A175&gt;200,"",IF($C$1='Adj-Mixed'!$A$21,VLOOKUP(A175,'800'!$A$7:$AB$188,7,FALSE),IF($C$1='Adj-Mixed'!$A$20,VLOOKUP(A175,'800'!$A$7:$AB$188,16,FALSE),IF($C$1='Adj-Mixed'!$A$19,VLOOKUP(A175,'800'!$A$7:$AB$188,25,FALSE)))))</f>
        <v>3.3916489066328381</v>
      </c>
      <c r="G175" s="26">
        <f t="shared" si="32"/>
        <v>369.70703992306312</v>
      </c>
      <c r="H175" s="1"/>
      <c r="I175" s="127">
        <f t="shared" si="33"/>
        <v>225.73141858877145</v>
      </c>
      <c r="J175" s="25">
        <f>IF(A175&gt;200,"",(C175*'Adj-Mixed'!$C$6))</f>
        <v>1254.9700835087795</v>
      </c>
      <c r="K175" s="26">
        <f>IF(A175&gt;200,"",D175*'Adj-Mixed'!$C$7)</f>
        <v>0.14762426163909811</v>
      </c>
      <c r="L175" s="1">
        <f t="shared" si="34"/>
        <v>6.773954287031307</v>
      </c>
      <c r="M175" s="26">
        <f t="shared" si="35"/>
        <v>8.5011099772803327</v>
      </c>
      <c r="N175" s="115">
        <f t="shared" si="36"/>
        <v>926.19394075254979</v>
      </c>
    </row>
    <row r="176" spans="1:14" x14ac:dyDescent="0.25">
      <c r="A176" s="22">
        <f t="shared" si="28"/>
        <v>194</v>
      </c>
      <c r="B176" s="27">
        <f>IF(A176&gt;200,"",IF($C$1='Adj-Mixed'!$A$21,VLOOKUP(A176,'800'!$A$6:$AB$188,4,FALSE),IF($C$1='Adj-Mixed'!$A$20,VLOOKUP(A176,'800'!$A$6:$AB$188,13,FALSE),IF($C$1='Adj-Mixed'!$A$19,VLOOKUP(A176,'800'!$A$6:$AB$188,22,FALSE)))))</f>
        <v>142.91702764635789</v>
      </c>
      <c r="C176" s="25">
        <f t="shared" si="29"/>
        <v>794.57611365899083</v>
      </c>
      <c r="D176" s="26">
        <f t="shared" si="30"/>
        <v>0.23405781699184081</v>
      </c>
      <c r="E176" s="26">
        <f>IF(A176&gt;200,"",IF($C$1='Adj-Mixed'!$A$21,VLOOKUP(A176,'800'!$A$7:$AB$188,10,FALSE),IF($C$1='Adj-Mixed'!$A$20,VLOOKUP(A176,'800'!$A$7:$AB$188,19,FALSE),IF($C$1='Adj-Mixed'!$A$19,VLOOKUP(A176,'800'!$A$7:$AB$188,28,FALSE)))))</f>
        <v>4.2724486319329369</v>
      </c>
      <c r="F176" s="26">
        <f>IF(A176&gt;200,"",IF($C$1='Adj-Mixed'!$A$21,VLOOKUP(A176,'800'!$A$7:$AB$188,7,FALSE),IF($C$1='Adj-Mixed'!$A$20,VLOOKUP(A176,'800'!$A$7:$AB$188,16,FALSE),IF($C$1='Adj-Mixed'!$A$19,VLOOKUP(A176,'800'!$A$7:$AB$188,25,FALSE)))))</f>
        <v>3.3955124861791504</v>
      </c>
      <c r="G176" s="26">
        <f t="shared" si="32"/>
        <v>373.10255240924226</v>
      </c>
      <c r="H176" s="1"/>
      <c r="I176" s="127">
        <f t="shared" si="33"/>
        <v>226.98024222845859</v>
      </c>
      <c r="J176" s="25">
        <f>IF(A176&gt;200,"",(C176*'Adj-Mixed'!$C$6))</f>
        <v>1248.8236396871418</v>
      </c>
      <c r="K176" s="26">
        <f>IF(A176&gt;200,"",D176*'Adj-Mixed'!$C$7)</f>
        <v>0.14673133824797377</v>
      </c>
      <c r="L176" s="1">
        <f t="shared" si="34"/>
        <v>6.8151767164422292</v>
      </c>
      <c r="M176" s="26">
        <f t="shared" si="35"/>
        <v>8.5109537921384497</v>
      </c>
      <c r="N176" s="115">
        <f t="shared" si="36"/>
        <v>934.70489454468827</v>
      </c>
    </row>
    <row r="177" spans="1:14" x14ac:dyDescent="0.25">
      <c r="A177" s="22">
        <f t="shared" si="28"/>
        <v>195</v>
      </c>
      <c r="B177" s="27">
        <f>IF(A177&gt;200,"",IF($C$1='Adj-Mixed'!$A$21,VLOOKUP(A177,'800'!$A$6:$AB$188,4,FALSE),IF($C$1='Adj-Mixed'!$A$20,VLOOKUP(A177,'800'!$A$6:$AB$188,13,FALSE),IF($C$1='Adj-Mixed'!$A$19,VLOOKUP(A177,'800'!$A$6:$AB$188,22,FALSE)))))</f>
        <v>143.70768445566046</v>
      </c>
      <c r="C177" s="25">
        <f t="shared" si="29"/>
        <v>790.65680930256121</v>
      </c>
      <c r="D177" s="26">
        <f t="shared" si="30"/>
        <v>0.23263952940525628</v>
      </c>
      <c r="E177" s="26">
        <f>IF(A177&gt;200,"",IF($C$1='Adj-Mixed'!$A$21,VLOOKUP(A177,'800'!$A$7:$AB$188,10,FALSE),IF($C$1='Adj-Mixed'!$A$20,VLOOKUP(A177,'800'!$A$7:$AB$188,19,FALSE),IF($C$1='Adj-Mixed'!$A$19,VLOOKUP(A177,'800'!$A$7:$AB$188,28,FALSE)))))</f>
        <v>4.2984956277916453</v>
      </c>
      <c r="F177" s="26">
        <f>IF(A177&gt;200,"",IF($C$1='Adj-Mixed'!$A$21,VLOOKUP(A177,'800'!$A$7:$AB$188,7,FALSE),IF($C$1='Adj-Mixed'!$A$20,VLOOKUP(A177,'800'!$A$7:$AB$188,16,FALSE),IF($C$1='Adj-Mixed'!$A$19,VLOOKUP(A177,'800'!$A$7:$AB$188,25,FALSE)))))</f>
        <v>3.3992983875761351</v>
      </c>
      <c r="G177" s="26">
        <f t="shared" si="32"/>
        <v>376.50185079681842</v>
      </c>
      <c r="H177" s="1"/>
      <c r="I177" s="127">
        <f t="shared" si="33"/>
        <v>228.22290595489477</v>
      </c>
      <c r="J177" s="25">
        <f>IF(A177&gt;200,"",(C177*'Adj-Mixed'!$C$6))</f>
        <v>1242.6637264361646</v>
      </c>
      <c r="K177" s="26">
        <f>IF(A177&gt;200,"",D177*'Adj-Mixed'!$C$7)</f>
        <v>0.14584221077393905</v>
      </c>
      <c r="L177" s="1">
        <f t="shared" si="34"/>
        <v>6.8567254616706119</v>
      </c>
      <c r="M177" s="26">
        <f t="shared" si="35"/>
        <v>8.5206040133493346</v>
      </c>
      <c r="N177" s="115">
        <f t="shared" si="36"/>
        <v>943.22549855803766</v>
      </c>
    </row>
    <row r="178" spans="1:14" x14ac:dyDescent="0.25">
      <c r="A178" s="22">
        <f t="shared" si="28"/>
        <v>196</v>
      </c>
      <c r="B178" s="27">
        <f>IF(A178&gt;200,"",IF($C$1='Adj-Mixed'!$A$21,VLOOKUP(A178,'800'!$A$6:$AB$188,4,FALSE),IF($C$1='Adj-Mixed'!$A$20,VLOOKUP(A178,'800'!$A$6:$AB$188,13,FALSE),IF($C$1='Adj-Mixed'!$A$19,VLOOKUP(A178,'800'!$A$6:$AB$188,22,FALSE)))))</f>
        <v>144.4944142294633</v>
      </c>
      <c r="C178" s="25">
        <f t="shared" si="29"/>
        <v>786.72977380284692</v>
      </c>
      <c r="D178" s="26">
        <f t="shared" si="30"/>
        <v>0.23122730151525384</v>
      </c>
      <c r="E178" s="26">
        <f>IF(A178&gt;200,"",IF($C$1='Adj-Mixed'!$A$21,VLOOKUP(A178,'800'!$A$7:$AB$188,10,FALSE),IF($C$1='Adj-Mixed'!$A$20,VLOOKUP(A178,'800'!$A$7:$AB$188,19,FALSE),IF($C$1='Adj-Mixed'!$A$19,VLOOKUP(A178,'800'!$A$7:$AB$188,28,FALSE)))))</f>
        <v>4.3247488226818707</v>
      </c>
      <c r="F178" s="26">
        <f>IF(A178&gt;200,"",IF($C$1='Adj-Mixed'!$A$21,VLOOKUP(A178,'800'!$A$7:$AB$188,7,FALSE),IF($C$1='Adj-Mixed'!$A$20,VLOOKUP(A178,'800'!$A$7:$AB$188,16,FALSE),IF($C$1='Adj-Mixed'!$A$19,VLOOKUP(A178,'800'!$A$7:$AB$188,25,FALSE)))))</f>
        <v>3.4030084288499829</v>
      </c>
      <c r="G178" s="26">
        <f t="shared" si="32"/>
        <v>379.90485922566842</v>
      </c>
      <c r="H178" s="1"/>
      <c r="I178" s="127">
        <f t="shared" si="33"/>
        <v>229.4593976171553</v>
      </c>
      <c r="J178" s="25">
        <f>IF(A178&gt;200,"",(C178*'Adj-Mixed'!$C$6))</f>
        <v>1236.4916622605247</v>
      </c>
      <c r="K178" s="26">
        <f>IF(A178&gt;200,"",D178*'Adj-Mixed'!$C$7)</f>
        <v>0.14495688213644947</v>
      </c>
      <c r="L178" s="1">
        <f t="shared" si="34"/>
        <v>6.8986031243324426</v>
      </c>
      <c r="M178" s="26">
        <f t="shared" si="35"/>
        <v>8.5300652444814702</v>
      </c>
      <c r="N178" s="115">
        <f t="shared" si="36"/>
        <v>951.75556380251908</v>
      </c>
    </row>
    <row r="179" spans="1:14" x14ac:dyDescent="0.25">
      <c r="A179" s="22">
        <f t="shared" si="28"/>
        <v>197</v>
      </c>
      <c r="B179" s="27">
        <f>IF(A179&gt;200,"",IF($C$1='Adj-Mixed'!$A$21,VLOOKUP(A179,'800'!$A$6:$AB$188,4,FALSE),IF($C$1='Adj-Mixed'!$A$20,VLOOKUP(A179,'800'!$A$6:$AB$188,13,FALSE),IF($C$1='Adj-Mixed'!$A$19,VLOOKUP(A179,'800'!$A$6:$AB$188,22,FALSE)))))</f>
        <v>145.27721005678566</v>
      </c>
      <c r="C179" s="25">
        <f t="shared" si="29"/>
        <v>782.79582732236008</v>
      </c>
      <c r="D179" s="26">
        <f t="shared" si="30"/>
        <v>0.229821139303028</v>
      </c>
      <c r="E179" s="26">
        <f>IF(A179&gt;200,"",IF($C$1='Adj-Mixed'!$A$21,VLOOKUP(A179,'800'!$A$7:$AB$188,10,FALSE),IF($C$1='Adj-Mixed'!$A$20,VLOOKUP(A179,'800'!$A$7:$AB$188,19,FALSE),IF($C$1='Adj-Mixed'!$A$19,VLOOKUP(A179,'800'!$A$7:$AB$188,28,FALSE)))))</f>
        <v>4.3512098279238867</v>
      </c>
      <c r="F179" s="26">
        <f>IF(A179&gt;200,"",IF($C$1='Adj-Mixed'!$A$21,VLOOKUP(A179,'800'!$A$7:$AB$188,7,FALSE),IF($C$1='Adj-Mixed'!$A$20,VLOOKUP(A179,'800'!$A$7:$AB$188,16,FALSE),IF($C$1='Adj-Mixed'!$A$19,VLOOKUP(A179,'800'!$A$7:$AB$188,25,FALSE)))))</f>
        <v>3.4066443834062996</v>
      </c>
      <c r="G179" s="26">
        <f t="shared" si="32"/>
        <v>383.31150360907469</v>
      </c>
      <c r="H179" s="1"/>
      <c r="I179" s="127">
        <f t="shared" si="33"/>
        <v>230.68970635335293</v>
      </c>
      <c r="J179" s="25">
        <f>IF(A179&gt;200,"",(C179*'Adj-Mixed'!$C$6))</f>
        <v>1230.3087361976295</v>
      </c>
      <c r="K179" s="26">
        <f>IF(A179&gt;200,"",D179*'Adj-Mixed'!$C$7)</f>
        <v>0.1440753560851285</v>
      </c>
      <c r="L179" s="1">
        <f t="shared" si="34"/>
        <v>6.9408122747178149</v>
      </c>
      <c r="M179" s="26">
        <f t="shared" si="35"/>
        <v>8.5393419778930699</v>
      </c>
      <c r="N179" s="115">
        <f t="shared" si="36"/>
        <v>960.29490578041214</v>
      </c>
    </row>
    <row r="180" spans="1:14" x14ac:dyDescent="0.25">
      <c r="A180" s="22">
        <f t="shared" si="28"/>
        <v>198</v>
      </c>
      <c r="B180" s="27">
        <f>IF(A180&gt;200,"",IF($C$1='Adj-Mixed'!$A$21,VLOOKUP(A180,'800'!$A$6:$AB$188,4,FALSE),IF($C$1='Adj-Mixed'!$A$20,VLOOKUP(A180,'800'!$A$6:$AB$188,13,FALSE),IF($C$1='Adj-Mixed'!$A$19,VLOOKUP(A180,'800'!$A$6:$AB$188,22,FALSE)))))</f>
        <v>146.05606582827107</v>
      </c>
      <c r="C180" s="25">
        <f t="shared" si="29"/>
        <v>778.85577148541074</v>
      </c>
      <c r="D180" s="26">
        <f t="shared" si="30"/>
        <v>0.22842104994383841</v>
      </c>
      <c r="E180" s="26">
        <f>IF(A180&gt;200,"",IF($C$1='Adj-Mixed'!$A$21,VLOOKUP(A180,'800'!$A$7:$AB$188,10,FALSE),IF($C$1='Adj-Mixed'!$A$20,VLOOKUP(A180,'800'!$A$7:$AB$188,19,FALSE),IF($C$1='Adj-Mixed'!$A$19,VLOOKUP(A180,'800'!$A$7:$AB$188,28,FALSE)))))</f>
        <v>4.3778802358445894</v>
      </c>
      <c r="F180" s="26">
        <f>IF(A180&gt;200,"",IF($C$1='Adj-Mixed'!$A$21,VLOOKUP(A180,'800'!$A$7:$AB$188,7,FALSE),IF($C$1='Adj-Mixed'!$A$20,VLOOKUP(A180,'800'!$A$7:$AB$188,16,FALSE),IF($C$1='Adj-Mixed'!$A$19,VLOOKUP(A180,'800'!$A$7:$AB$188,25,FALSE)))))</f>
        <v>3.4102079810096968</v>
      </c>
      <c r="G180" s="26">
        <f t="shared" si="32"/>
        <v>386.7217115900844</v>
      </c>
      <c r="H180" s="1"/>
      <c r="I180" s="127">
        <f t="shared" si="33"/>
        <v>231.9138225615016</v>
      </c>
      <c r="J180" s="25">
        <f>IF(A180&gt;200,"",(C180*'Adj-Mixed'!$C$6))</f>
        <v>1224.1162081486661</v>
      </c>
      <c r="K180" s="26">
        <f>IF(A180&gt;200,"",D180*'Adj-Mixed'!$C$7)</f>
        <v>0.14319763711816147</v>
      </c>
      <c r="L180" s="1">
        <f t="shared" si="34"/>
        <v>6.9833554528196329</v>
      </c>
      <c r="M180" s="26">
        <f t="shared" si="35"/>
        <v>8.5484385970598797</v>
      </c>
      <c r="N180" s="115">
        <f t="shared" si="36"/>
        <v>968.84334437747202</v>
      </c>
    </row>
    <row r="181" spans="1:14" x14ac:dyDescent="0.25">
      <c r="A181" s="22">
        <f t="shared" si="28"/>
        <v>199</v>
      </c>
      <c r="B181" s="27">
        <f>IF(A181&gt;200,"",IF($C$1='Adj-Mixed'!$A$21,VLOOKUP(A181,'800'!$A$6:$AB$188,4,FALSE),IF($C$1='Adj-Mixed'!$A$20,VLOOKUP(A181,'800'!$A$6:$AB$188,13,FALSE),IF($C$1='Adj-Mixed'!$A$19,VLOOKUP(A181,'800'!$A$6:$AB$188,22,FALSE)))))</f>
        <v>146.8309762178622</v>
      </c>
      <c r="C181" s="25">
        <f t="shared" si="29"/>
        <v>774.91038959112757</v>
      </c>
      <c r="D181" s="26">
        <f t="shared" si="30"/>
        <v>0.22702704168276244</v>
      </c>
      <c r="E181" s="26">
        <f>IF(A181&gt;200,"",IF($C$1='Adj-Mixed'!$A$21,VLOOKUP(A181,'800'!$A$7:$AB$188,10,FALSE),IF($C$1='Adj-Mixed'!$A$20,VLOOKUP(A181,'800'!$A$7:$AB$188,19,FALSE),IF($C$1='Adj-Mixed'!$A$19,VLOOKUP(A181,'800'!$A$7:$AB$188,28,FALSE)))))</f>
        <v>4.4047616204124083</v>
      </c>
      <c r="F181" s="26">
        <f>IF(A181&gt;200,"",IF($C$1='Adj-Mixed'!$A$21,VLOOKUP(A181,'800'!$A$7:$AB$188,7,FALSE),IF($C$1='Adj-Mixed'!$A$20,VLOOKUP(A181,'800'!$A$7:$AB$188,16,FALSE),IF($C$1='Adj-Mixed'!$A$19,VLOOKUP(A181,'800'!$A$7:$AB$188,25,FALSE)))))</f>
        <v>3.4137009087541648</v>
      </c>
      <c r="G181" s="26">
        <f t="shared" si="32"/>
        <v>390.13541249883855</v>
      </c>
      <c r="H181" s="1"/>
      <c r="I181" s="127">
        <f t="shared" si="33"/>
        <v>233.131737870715</v>
      </c>
      <c r="J181" s="25">
        <f>IF(A181&gt;200,"",(C181*'Adj-Mixed'!$C$6))</f>
        <v>1217.915309213402</v>
      </c>
      <c r="K181" s="26">
        <f>IF(A181&gt;200,"",D181*'Adj-Mixed'!$C$7)</f>
        <v>0.14232373040440477</v>
      </c>
      <c r="L181" s="1">
        <f t="shared" si="34"/>
        <v>7.0262351693463696</v>
      </c>
      <c r="M181" s="26">
        <f t="shared" si="35"/>
        <v>8.5573593788805642</v>
      </c>
      <c r="N181" s="115">
        <f t="shared" si="36"/>
        <v>977.40070375635264</v>
      </c>
    </row>
    <row r="182" spans="1:14" x14ac:dyDescent="0.25">
      <c r="A182" s="22">
        <f t="shared" si="28"/>
        <v>200</v>
      </c>
      <c r="B182" s="27">
        <f>IF(A182&gt;200,"",IF($C$1='Adj-Mixed'!$A$21,VLOOKUP(A182,'800'!$A$6:$AB$188,4,FALSE),IF($C$1='Adj-Mixed'!$A$20,VLOOKUP(A182,'800'!$A$6:$AB$188,13,FALSE),IF($C$1='Adj-Mixed'!$A$19,VLOOKUP(A182,'800'!$A$6:$AB$188,22,FALSE)))))</f>
        <v>147.60193666469397</v>
      </c>
      <c r="C182" s="25">
        <f t="shared" si="29"/>
        <v>770.96044683176501</v>
      </c>
      <c r="D182" s="26">
        <f t="shared" si="30"/>
        <v>0.22563912371675046</v>
      </c>
      <c r="E182" s="26">
        <f>IF(A182&gt;200,"",IF($C$1='Adj-Mixed'!$A$21,VLOOKUP(A182,'800'!$A$7:$AB$188,10,FALSE),IF($C$1='Adj-Mixed'!$A$20,VLOOKUP(A182,'800'!$A$7:$AB$188,19,FALSE),IF($C$1='Adj-Mixed'!$A$19,VLOOKUP(A182,'800'!$A$7:$AB$188,28,FALSE)))))</f>
        <v>4.4318555378513214</v>
      </c>
      <c r="F182" s="26">
        <f>IF(A182&gt;200,"",IF($C$1='Adj-Mixed'!$A$21,VLOOKUP(A182,'800'!$A$7:$AB$188,7,FALSE),IF($C$1='Adj-Mixed'!$A$20,VLOOKUP(A182,'800'!$A$7:$AB$188,16,FALSE),IF($C$1='Adj-Mixed'!$A$19,VLOOKUP(A182,'800'!$A$7:$AB$188,25,FALSE)))))</f>
        <v>3.4171248120232915</v>
      </c>
      <c r="G182" s="26">
        <f t="shared" si="32"/>
        <v>393.55253731086185</v>
      </c>
      <c r="H182" s="1"/>
      <c r="I182" s="127">
        <f t="shared" si="33"/>
        <v>234.3434451127483</v>
      </c>
      <c r="J182" s="25">
        <f>IF(A182&gt;200,"",(C182*'Adj-Mixed'!$C$6))</f>
        <v>1211.7072420332954</v>
      </c>
      <c r="K182" s="26">
        <f>IF(A182&gt;200,"",D182*'Adj-Mixed'!$C$7)</f>
        <v>0.14145364170944594</v>
      </c>
      <c r="L182" s="1">
        <f t="shared" si="34"/>
        <v>7.0694539067015221</v>
      </c>
      <c r="M182" s="26">
        <f t="shared" si="35"/>
        <v>8.5661084959708074</v>
      </c>
      <c r="N182" s="115">
        <f t="shared" si="36"/>
        <v>985.96681225232339</v>
      </c>
    </row>
    <row r="183" spans="1:14" x14ac:dyDescent="0.25">
      <c r="A183" s="22">
        <f t="shared" si="28"/>
        <v>201</v>
      </c>
      <c r="B183" s="27" t="str">
        <f>IF(A183&gt;200,"",IF($C$1='Adj-Mixed'!$A$21,VLOOKUP(A183,'800'!$A$6:$AB$188,4,FALSE),IF($C$1='Adj-Mixed'!$A$20,VLOOKUP(A183,'800'!$A$6:$AB$188,13,FALSE),IF($C$1='Adj-Mixed'!$A$19,VLOOKUP(A183,'800'!$A$6:$AB$188,22,FALSE)))))</f>
        <v/>
      </c>
      <c r="C183" s="25" t="str">
        <f t="shared" si="29"/>
        <v/>
      </c>
      <c r="D183" s="26" t="str">
        <f t="shared" si="30"/>
        <v/>
      </c>
      <c r="E183" s="26" t="str">
        <f>IF(A183&gt;200,"",IF($C$1='Adj-Mixed'!$A$21,VLOOKUP(A183,'800'!$A$7:$AB$188,10,FALSE),IF($C$1='Adj-Mixed'!$A$20,VLOOKUP(A183,'800'!$A$7:$AB$188,19,FALSE),IF($C$1='Adj-Mixed'!$A$19,VLOOKUP(A183,'800'!$A$7:$AB$188,28,FALSE)))))</f>
        <v/>
      </c>
      <c r="F183" s="26" t="str">
        <f>IF(A183&gt;200,"",IF($C$1='Adj-Mixed'!$A$21,VLOOKUP(A183,'800'!$A$7:$AB$188,7,FALSE),IF($C$1='Adj-Mixed'!$A$20,VLOOKUP(A183,'800'!$A$7:$AB$188,16,FALSE),IF($C$1='Adj-Mixed'!$A$19,VLOOKUP(A183,'800'!$A$7:$AB$188,25,FALSE)))))</f>
        <v/>
      </c>
      <c r="G183" s="26" t="str">
        <f t="shared" si="32"/>
        <v/>
      </c>
      <c r="H183" s="1"/>
      <c r="I183" s="127" t="str">
        <f t="shared" si="33"/>
        <v/>
      </c>
      <c r="J183" s="25" t="str">
        <f>IF(A183&gt;200,"",(C183*'Adj-Mixed'!$C$6))</f>
        <v/>
      </c>
      <c r="K183" s="26" t="str">
        <f>IF(A183&gt;200,"",D183*'Adj-Mixed'!$C$7)</f>
        <v/>
      </c>
      <c r="L183" s="1" t="str">
        <f t="shared" si="34"/>
        <v/>
      </c>
      <c r="M183" s="26" t="str">
        <f t="shared" si="35"/>
        <v/>
      </c>
      <c r="N183" s="115" t="str">
        <f t="shared" si="36"/>
        <v/>
      </c>
    </row>
    <row r="184" spans="1:14" x14ac:dyDescent="0.25">
      <c r="A184" s="22">
        <f t="shared" si="28"/>
        <v>202</v>
      </c>
      <c r="B184" s="27" t="str">
        <f>IF(A184&gt;200,"",IF($C$1='Adj-Mixed'!$A$21,VLOOKUP(A184,'800'!$A$6:$AB$188,4,FALSE),IF($C$1='Adj-Mixed'!$A$20,VLOOKUP(A184,'800'!$A$6:$AB$188,13,FALSE),IF($C$1='Adj-Mixed'!$A$19,VLOOKUP(A184,'800'!$A$6:$AB$188,22,FALSE)))))</f>
        <v/>
      </c>
      <c r="C184" s="25" t="str">
        <f t="shared" si="29"/>
        <v/>
      </c>
      <c r="D184" s="26" t="str">
        <f t="shared" si="30"/>
        <v/>
      </c>
      <c r="E184" s="26" t="str">
        <f>IF(A184&gt;200,"",IF($C$1='Adj-Mixed'!$A$21,VLOOKUP(A184,'800'!$A$7:$AB$188,10,FALSE),IF($C$1='Adj-Mixed'!$A$20,VLOOKUP(A184,'800'!$A$7:$AB$188,19,FALSE),IF($C$1='Adj-Mixed'!$A$19,VLOOKUP(A184,'800'!$A$7:$AB$188,28,FALSE)))))</f>
        <v/>
      </c>
      <c r="F184" s="26" t="str">
        <f>IF(A184&gt;200,"",IF($C$1='Adj-Mixed'!$A$21,VLOOKUP(A184,'800'!$A$7:$AB$188,7,FALSE),IF($C$1='Adj-Mixed'!$A$20,VLOOKUP(A184,'800'!$A$7:$AB$188,16,FALSE),IF($C$1='Adj-Mixed'!$A$19,VLOOKUP(A184,'800'!$A$7:$AB$188,25,FALSE)))))</f>
        <v/>
      </c>
      <c r="G184" s="26" t="str">
        <f t="shared" si="32"/>
        <v/>
      </c>
      <c r="H184" s="1"/>
      <c r="I184" s="127" t="str">
        <f t="shared" si="33"/>
        <v/>
      </c>
      <c r="J184" s="25" t="str">
        <f>IF(A184&gt;200,"",(C184*'Adj-Mixed'!$C$6))</f>
        <v/>
      </c>
      <c r="K184" s="26" t="str">
        <f>IF(A184&gt;200,"",D184*'Adj-Mixed'!$C$7)</f>
        <v/>
      </c>
      <c r="L184" s="1" t="str">
        <f t="shared" si="34"/>
        <v/>
      </c>
      <c r="M184" s="26" t="str">
        <f t="shared" si="35"/>
        <v/>
      </c>
      <c r="N184" s="115" t="str">
        <f t="shared" si="36"/>
        <v/>
      </c>
    </row>
    <row r="185" spans="1:14" x14ac:dyDescent="0.25">
      <c r="A185" s="22">
        <f t="shared" si="28"/>
        <v>203</v>
      </c>
      <c r="B185" s="27" t="str">
        <f>IF(A185&gt;200,"",IF($C$1='Adj-Mixed'!$A$21,VLOOKUP(A185,'800'!$A$6:$AB$188,4,FALSE),IF($C$1='Adj-Mixed'!$A$20,VLOOKUP(A185,'800'!$A$6:$AB$188,13,FALSE),IF($C$1='Adj-Mixed'!$A$19,VLOOKUP(A185,'800'!$A$6:$AB$188,22,FALSE)))))</f>
        <v/>
      </c>
      <c r="C185" s="25" t="str">
        <f t="shared" si="29"/>
        <v/>
      </c>
      <c r="D185" s="26" t="str">
        <f t="shared" si="30"/>
        <v/>
      </c>
      <c r="E185" s="26" t="str">
        <f>IF(A185&gt;200,"",IF($C$1='Adj-Mixed'!$A$21,VLOOKUP(A185,'800'!$A$7:$AB$188,10,FALSE),IF($C$1='Adj-Mixed'!$A$20,VLOOKUP(A185,'800'!$A$7:$AB$188,19,FALSE),IF($C$1='Adj-Mixed'!$A$19,VLOOKUP(A185,'800'!$A$7:$AB$188,28,FALSE)))))</f>
        <v/>
      </c>
      <c r="F185" s="26" t="str">
        <f>IF(A185&gt;200,"",IF($C$1='Adj-Mixed'!$A$21,VLOOKUP(A185,'800'!$A$7:$AB$188,7,FALSE),IF($C$1='Adj-Mixed'!$A$20,VLOOKUP(A185,'800'!$A$7:$AB$188,16,FALSE),IF($C$1='Adj-Mixed'!$A$19,VLOOKUP(A185,'800'!$A$7:$AB$188,25,FALSE)))))</f>
        <v/>
      </c>
      <c r="G185" s="26" t="str">
        <f t="shared" si="32"/>
        <v/>
      </c>
      <c r="H185" s="1"/>
      <c r="I185" s="127" t="str">
        <f t="shared" si="33"/>
        <v/>
      </c>
      <c r="J185" s="25" t="str">
        <f>IF(A185&gt;200,"",(C185*'Adj-Mixed'!$C$6))</f>
        <v/>
      </c>
      <c r="K185" s="26" t="str">
        <f>IF(A185&gt;200,"",D185*'Adj-Mixed'!$C$7)</f>
        <v/>
      </c>
      <c r="L185" s="1" t="str">
        <f t="shared" si="34"/>
        <v/>
      </c>
      <c r="M185" s="26" t="str">
        <f t="shared" si="35"/>
        <v/>
      </c>
      <c r="N185" s="115" t="str">
        <f t="shared" si="36"/>
        <v/>
      </c>
    </row>
    <row r="186" spans="1:14" x14ac:dyDescent="0.25">
      <c r="I186" s="128"/>
    </row>
    <row r="187" spans="1:14" x14ac:dyDescent="0.25">
      <c r="I187" s="128"/>
    </row>
    <row r="188" spans="1:14" x14ac:dyDescent="0.25">
      <c r="I188" s="128"/>
    </row>
    <row r="189" spans="1:14" x14ac:dyDescent="0.25">
      <c r="I189" s="128"/>
    </row>
    <row r="190" spans="1:14" x14ac:dyDescent="0.25">
      <c r="I190" s="128"/>
    </row>
    <row r="191" spans="1:14" x14ac:dyDescent="0.25">
      <c r="I191" s="128"/>
    </row>
    <row r="192" spans="1:14" x14ac:dyDescent="0.25">
      <c r="I192" s="128"/>
    </row>
    <row r="193" spans="9:9" x14ac:dyDescent="0.25">
      <c r="I193" s="128"/>
    </row>
    <row r="194" spans="9:9" x14ac:dyDescent="0.25">
      <c r="I194" s="128"/>
    </row>
    <row r="195" spans="9:9" x14ac:dyDescent="0.25">
      <c r="I195" s="128"/>
    </row>
    <row r="196" spans="9:9" x14ac:dyDescent="0.25">
      <c r="I196" s="128"/>
    </row>
    <row r="197" spans="9:9" x14ac:dyDescent="0.25">
      <c r="I197" s="128"/>
    </row>
    <row r="198" spans="9:9" x14ac:dyDescent="0.25">
      <c r="I198" s="128"/>
    </row>
    <row r="199" spans="9:9" x14ac:dyDescent="0.25">
      <c r="I199" s="128"/>
    </row>
    <row r="200" spans="9:9" x14ac:dyDescent="0.25">
      <c r="I200" s="128"/>
    </row>
    <row r="201" spans="9:9" x14ac:dyDescent="0.25">
      <c r="I201" s="128"/>
    </row>
    <row r="202" spans="9:9" x14ac:dyDescent="0.25">
      <c r="I202" s="128"/>
    </row>
    <row r="203" spans="9:9" x14ac:dyDescent="0.25">
      <c r="I203" s="128"/>
    </row>
    <row r="204" spans="9:9" x14ac:dyDescent="0.25">
      <c r="I204" s="128"/>
    </row>
    <row r="205" spans="9:9" x14ac:dyDescent="0.25">
      <c r="I205" s="128"/>
    </row>
    <row r="206" spans="9:9" x14ac:dyDescent="0.25">
      <c r="I206" s="128"/>
    </row>
    <row r="207" spans="9:9" x14ac:dyDescent="0.25">
      <c r="I207" s="128"/>
    </row>
    <row r="208" spans="9:9" x14ac:dyDescent="0.25">
      <c r="I208" s="128"/>
    </row>
    <row r="209" spans="9:9" x14ac:dyDescent="0.25">
      <c r="I209" s="128"/>
    </row>
    <row r="210" spans="9:9" x14ac:dyDescent="0.25">
      <c r="I210" s="128"/>
    </row>
    <row r="211" spans="9:9" x14ac:dyDescent="0.25">
      <c r="I211" s="128"/>
    </row>
    <row r="212" spans="9:9" x14ac:dyDescent="0.25">
      <c r="I212" s="128"/>
    </row>
    <row r="213" spans="9:9" x14ac:dyDescent="0.25">
      <c r="I213" s="128"/>
    </row>
  </sheetData>
  <mergeCells count="2">
    <mergeCell ref="C1:G1"/>
    <mergeCell ref="J1:N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211B-06FF-46E4-9148-6831B890C4C7}">
  <sheetPr codeName="Sheet13"/>
  <dimension ref="A1:P193"/>
  <sheetViews>
    <sheetView topLeftCell="A4" zoomScale="110" zoomScaleNormal="110" workbookViewId="0">
      <selection activeCell="C44" sqref="C44"/>
    </sheetView>
  </sheetViews>
  <sheetFormatPr defaultColWidth="8.85546875" defaultRowHeight="15" x14ac:dyDescent="0.25"/>
  <cols>
    <col min="1" max="1" width="6.42578125" bestFit="1" customWidth="1"/>
    <col min="2" max="2" width="15.42578125" bestFit="1" customWidth="1"/>
    <col min="3" max="3" width="12.42578125" bestFit="1" customWidth="1"/>
    <col min="4" max="5" width="7.42578125" bestFit="1" customWidth="1"/>
    <col min="6" max="6" width="8.7109375" bestFit="1" customWidth="1"/>
    <col min="7" max="7" width="17.85546875" bestFit="1" customWidth="1"/>
    <col min="9" max="9" width="15.42578125" bestFit="1" customWidth="1"/>
    <col min="10" max="10" width="12.42578125" bestFit="1" customWidth="1"/>
    <col min="11" max="12" width="7.42578125" bestFit="1" customWidth="1"/>
    <col min="13" max="13" width="8.7109375" bestFit="1" customWidth="1"/>
    <col min="14" max="14" width="17.85546875" bestFit="1" customWidth="1"/>
    <col min="16" max="16" width="16.85546875" bestFit="1" customWidth="1"/>
  </cols>
  <sheetData>
    <row r="1" spans="1:16" x14ac:dyDescent="0.25">
      <c r="A1" s="219">
        <v>337</v>
      </c>
      <c r="B1" s="219" t="s">
        <v>13</v>
      </c>
      <c r="C1" s="254" t="str">
        <f>'Adj-Mixed'!A17</f>
        <v>Low energy diet</v>
      </c>
      <c r="D1" s="254"/>
      <c r="E1" s="254"/>
      <c r="F1" s="254"/>
      <c r="G1" s="254"/>
      <c r="I1" s="212" t="str">
        <f>B1</f>
        <v>Barrows</v>
      </c>
      <c r="J1" s="255" t="s">
        <v>125</v>
      </c>
      <c r="K1" s="256"/>
      <c r="L1" s="256"/>
      <c r="M1" s="256"/>
      <c r="N1" s="257"/>
    </row>
    <row r="2" spans="1:16" ht="15" customHeight="1" x14ac:dyDescent="0.25">
      <c r="A2" s="124" t="s">
        <v>55</v>
      </c>
      <c r="B2" s="124" t="s">
        <v>126</v>
      </c>
      <c r="C2" s="219" t="s">
        <v>127</v>
      </c>
      <c r="D2" s="219" t="s">
        <v>128</v>
      </c>
      <c r="E2" s="219" t="s">
        <v>129</v>
      </c>
      <c r="F2" s="219" t="s">
        <v>130</v>
      </c>
      <c r="G2" s="219" t="s">
        <v>131</v>
      </c>
      <c r="I2" s="125" t="str">
        <f>B2</f>
        <v>Body Weight, kg</v>
      </c>
      <c r="J2" s="212" t="str">
        <f>C2</f>
        <v>Est. ADG, g/d</v>
      </c>
      <c r="K2" s="212" t="str">
        <f t="shared" ref="K2:N2" si="0">D2</f>
        <v>Est. G:F</v>
      </c>
      <c r="L2" s="212" t="str">
        <f t="shared" si="0"/>
        <v>Est. F:G</v>
      </c>
      <c r="M2" s="212" t="str">
        <f t="shared" si="0"/>
        <v>Est. ADFI</v>
      </c>
      <c r="N2" s="212" t="str">
        <f t="shared" si="0"/>
        <v>Ac. Feed intake, kg</v>
      </c>
    </row>
    <row r="3" spans="1:16" ht="15" customHeight="1" x14ac:dyDescent="0.25">
      <c r="A3" s="114">
        <f>'I-Mixed'!$C$5</f>
        <v>21</v>
      </c>
      <c r="B3" s="27">
        <f>IF(A3&gt;200,"",IF($C$1='Adj-Mixed'!$A$21,VLOOKUP(A3,'800'!$A$6:$AB$188,2,FALSE),IF($C$1='Adj-Mixed'!$A$20,VLOOKUP(A3,'800'!$A$6:$AB$188,11,FALSE),IF($C$1='Adj-Mixed'!$A$19,VLOOKUP(A3,'800'!$A$6:$AB$188,20,FALSE)))))</f>
        <v>6.1109619104329962</v>
      </c>
      <c r="C3" s="25"/>
      <c r="D3" s="23"/>
      <c r="E3" s="26"/>
      <c r="F3" s="26"/>
      <c r="G3" s="217"/>
      <c r="I3" s="127">
        <f>IF(A3&gt;200,"",'E-Mixed'!I3*'Adj-Barrows'!B12)</f>
        <v>11.911087058338016</v>
      </c>
      <c r="J3" s="98"/>
      <c r="K3" s="23"/>
      <c r="L3" s="23"/>
      <c r="M3" s="217"/>
      <c r="N3" s="217"/>
    </row>
    <row r="4" spans="1:16" ht="15" customHeight="1" x14ac:dyDescent="0.25">
      <c r="A4" s="114">
        <f>A3+1</f>
        <v>22</v>
      </c>
      <c r="B4" s="27">
        <f>IF(A4&gt;200,"",IF($C$1='Adj-Mixed'!$A$21,VLOOKUP(A4,'800'!$A$6:$AB$188,2,FALSE),IF($C$1='Adj-Mixed'!$A$20,VLOOKUP(A4,'800'!$A$6:$AB$188,11,FALSE),IF($C$1='Adj-Mixed'!$A$19,VLOOKUP(A4,'800'!$A$6:$AB$188,20,FALSE)))))</f>
        <v>6.1941399512686033</v>
      </c>
      <c r="C4" s="25">
        <f>IF(A4&gt;200,"",(B4-B3)*1000)</f>
        <v>83.178040835607092</v>
      </c>
      <c r="D4" s="26">
        <f>IF(A4&gt;200,"",1/E4)</f>
        <v>0.9708807012780365</v>
      </c>
      <c r="E4" s="26">
        <f>IF(A4&gt;200,"",IF($C$1='Adj-Mixed'!$A$21,VLOOKUP(A4,'800'!$A$7:$AB$188,8,FALSE),IF($C$1='Adj-Mixed'!$A$20,VLOOKUP(A4,'800'!$A$7:$AB$188,17,FALSE),IF($C$1='Adj-Mixed'!$A$19,VLOOKUP(A4,'800'!$A$7:$AB$188,26,FALSE)))))</f>
        <v>1.0299926640663799</v>
      </c>
      <c r="F4" s="26">
        <f t="shared" ref="F4:F40" si="1">IF(A4&gt;200,"",(E4*C4)/1000)</f>
        <v>8.567277187208909E-2</v>
      </c>
      <c r="G4" s="27">
        <f>IF(A4&gt;200,"",F4)</f>
        <v>8.567277187208909E-2</v>
      </c>
      <c r="I4" s="127">
        <f>IF(A4&gt;200,"",I3+(J4/1000))</f>
        <v>12.041816766811166</v>
      </c>
      <c r="J4" s="25">
        <f>IF(A4&gt;200,"",C4*'Adj-Barrows'!$C$6)</f>
        <v>130.72970847315025</v>
      </c>
      <c r="K4" s="26">
        <f>IF(A4&gt;200,"",D4*'Adj-Barrows'!$C$7)</f>
        <v>0.60864715568386096</v>
      </c>
      <c r="L4" s="1">
        <f t="shared" ref="L4:L67" si="2">IF(A4&gt;200,"",1/K4)</f>
        <v>1.6429880443233562</v>
      </c>
      <c r="M4" s="26">
        <f t="shared" ref="M4:M67" si="3">IF(A4&gt;200,"",(J4/1000)/K4)</f>
        <v>0.21478734805926358</v>
      </c>
      <c r="N4" s="30">
        <f>IF(A4&gt;200,"",M4)</f>
        <v>0.21478734805926358</v>
      </c>
      <c r="P4" s="135"/>
    </row>
    <row r="5" spans="1:16" ht="15" customHeight="1" x14ac:dyDescent="0.25">
      <c r="A5" s="114">
        <f>A4+1</f>
        <v>23</v>
      </c>
      <c r="B5" s="27">
        <f>IF(A5&gt;200,"",IF($C$1='Adj-Mixed'!$A$21,VLOOKUP(A5,'800'!$A$6:$AB$188,2,FALSE),IF($C$1='Adj-Mixed'!$A$20,VLOOKUP(A5,'800'!$A$6:$AB$188,11,FALSE),IF($C$1='Adj-Mixed'!$A$19,VLOOKUP(A5,'800'!$A$6:$AB$188,20,FALSE)))))</f>
        <v>6.301648655238945</v>
      </c>
      <c r="C5" s="25">
        <f t="shared" ref="C5:C68" si="4">IF(A5&gt;200,"",(B5-B4)*1000)</f>
        <v>107.50870397034174</v>
      </c>
      <c r="D5" s="26">
        <f t="shared" ref="D5:D68" si="5">IF(A5&gt;200,"",1/E5)</f>
        <v>0.96154530991960308</v>
      </c>
      <c r="E5" s="26">
        <f>IF(A5&gt;200,"",IF($C$1='Adj-Mixed'!$A$21,VLOOKUP(A5,'800'!$A$7:$AB$188,8,FALSE),IF($C$1='Adj-Mixed'!$A$20,VLOOKUP(A5,'800'!$A$7:$AB$188,17,FALSE),IF($C$1='Adj-Mixed'!$A$19,VLOOKUP(A5,'800'!$A$7:$AB$188,26,FALSE)))))</f>
        <v>1.0399925928437135</v>
      </c>
      <c r="F5" s="26">
        <f t="shared" si="1"/>
        <v>0.11180825579538295</v>
      </c>
      <c r="G5" s="27">
        <f>IF(A5&gt;200,"",F5+G4)</f>
        <v>0.19748102766747205</v>
      </c>
      <c r="I5" s="127">
        <f t="shared" ref="I5:I68" si="6">IF(A5&gt;200,"",I4+(J5/1000))</f>
        <v>12.210786622162129</v>
      </c>
      <c r="J5" s="25">
        <f>IF(A5&gt;200,"",C5*'Adj-Barrows'!$C$6)</f>
        <v>168.96985535096258</v>
      </c>
      <c r="K5" s="26">
        <f>IF(A5&gt;200,"",D5*'Adj-Barrows'!$C$7)</f>
        <v>0.60279477918690649</v>
      </c>
      <c r="L5" s="1">
        <f t="shared" si="2"/>
        <v>1.6589393845594895</v>
      </c>
      <c r="M5" s="26">
        <f t="shared" si="3"/>
        <v>0.28031074784503179</v>
      </c>
      <c r="N5" s="30">
        <f>IF(A5&gt;200,"",N4+M5)</f>
        <v>0.49509809590429538</v>
      </c>
    </row>
    <row r="6" spans="1:16" ht="15" customHeight="1" x14ac:dyDescent="0.25">
      <c r="A6" s="114">
        <f t="shared" ref="A6:A26" si="7">A5+1</f>
        <v>24</v>
      </c>
      <c r="B6" s="27">
        <f>IF(A6&gt;200,"",IF($C$1='Adj-Mixed'!$A$21,VLOOKUP(A6,'800'!$A$6:$AB$188,2,FALSE),IF($C$1='Adj-Mixed'!$A$20,VLOOKUP(A6,'800'!$A$6:$AB$188,11,FALSE),IF($C$1='Adj-Mixed'!$A$19,VLOOKUP(A6,'800'!$A$6:$AB$188,20,FALSE)))))</f>
        <v>6.4329087208408122</v>
      </c>
      <c r="C6" s="25">
        <f t="shared" si="4"/>
        <v>131.26006560186721</v>
      </c>
      <c r="D6" s="26">
        <f t="shared" si="5"/>
        <v>0.95238773553941614</v>
      </c>
      <c r="E6" s="26">
        <f>IF(A6&gt;200,"",IF($C$1='Adj-Mixed'!$A$21,VLOOKUP(A6,'800'!$A$7:$AB$188,8,FALSE),IF($C$1='Adj-Mixed'!$A$20,VLOOKUP(A6,'800'!$A$7:$AB$188,17,FALSE),IF($C$1='Adj-Mixed'!$A$19,VLOOKUP(A6,'800'!$A$7:$AB$188,26,FALSE)))))</f>
        <v>1.0499925216210571</v>
      </c>
      <c r="F6" s="26">
        <f t="shared" si="1"/>
        <v>0.13782208726944992</v>
      </c>
      <c r="G6" s="27">
        <f t="shared" ref="G6:G69" si="8">IF(A6&gt;200,"",F6+G5)</f>
        <v>0.335303114936922</v>
      </c>
      <c r="I6" s="127">
        <f t="shared" si="6"/>
        <v>12.417086144703335</v>
      </c>
      <c r="J6" s="25">
        <f>IF(A6&gt;200,"",C6*'Adj-Barrows'!$C$6)</f>
        <v>206.29952254120602</v>
      </c>
      <c r="K6" s="26">
        <f>IF(A6&gt;200,"",D6*'Adj-Barrows'!$C$7)</f>
        <v>0.59705387652798347</v>
      </c>
      <c r="L6" s="1">
        <f t="shared" si="2"/>
        <v>1.6748907247956386</v>
      </c>
      <c r="M6" s="26">
        <f t="shared" si="3"/>
        <v>0.34552915683403473</v>
      </c>
      <c r="N6" s="30">
        <f t="shared" ref="N6:N69" si="9">IF(A6&gt;200,"",N5+M6)</f>
        <v>0.84062725273833006</v>
      </c>
    </row>
    <row r="7" spans="1:16" ht="15" customHeight="1" x14ac:dyDescent="0.25">
      <c r="A7" s="114">
        <f t="shared" si="7"/>
        <v>25</v>
      </c>
      <c r="B7" s="27">
        <f>IF(A7&gt;200,"",IF($C$1='Adj-Mixed'!$A$21,VLOOKUP(A7,'800'!$A$6:$AB$188,2,FALSE),IF($C$1='Adj-Mixed'!$A$20,VLOOKUP(A7,'800'!$A$6:$AB$188,11,FALSE),IF($C$1='Adj-Mixed'!$A$19,VLOOKUP(A7,'800'!$A$6:$AB$188,20,FALSE)))))</f>
        <v>6.5873408465709966</v>
      </c>
      <c r="C7" s="25">
        <f t="shared" si="4"/>
        <v>154.4321257301844</v>
      </c>
      <c r="D7" s="26">
        <f t="shared" si="5"/>
        <v>0.94340294558149185</v>
      </c>
      <c r="E7" s="26">
        <f>IF(A7&gt;200,"",IF($C$1='Adj-Mixed'!$A$21,VLOOKUP(A7,'800'!$A$7:$AB$188,8,FALSE),IF($C$1='Adj-Mixed'!$A$20,VLOOKUP(A7,'800'!$A$7:$AB$188,17,FALSE),IF($C$1='Adj-Mixed'!$A$19,VLOOKUP(A7,'800'!$A$7:$AB$188,26,FALSE)))))</f>
        <v>1.0599924503984064</v>
      </c>
      <c r="F7" s="26">
        <f t="shared" si="1"/>
        <v>0.16369688737297294</v>
      </c>
      <c r="G7" s="27">
        <f t="shared" si="8"/>
        <v>0.49900000230989494</v>
      </c>
      <c r="I7" s="127">
        <f t="shared" si="6"/>
        <v>12.659804854747216</v>
      </c>
      <c r="J7" s="25">
        <f>IF(A7&gt;200,"",C7*'Adj-Barrows'!$C$6)</f>
        <v>242.718710043882</v>
      </c>
      <c r="K7" s="26">
        <f>IF(A7&gt;200,"",D7*'Adj-Barrows'!$C$7)</f>
        <v>0.59142129278715017</v>
      </c>
      <c r="L7" s="1">
        <f t="shared" si="2"/>
        <v>1.690842065031797</v>
      </c>
      <c r="M7" s="26">
        <f t="shared" si="3"/>
        <v>0.4103990049124514</v>
      </c>
      <c r="N7" s="30">
        <f t="shared" si="9"/>
        <v>1.2510262576507816</v>
      </c>
    </row>
    <row r="8" spans="1:16" ht="15" customHeight="1" x14ac:dyDescent="0.25">
      <c r="A8" s="114">
        <f t="shared" si="7"/>
        <v>26</v>
      </c>
      <c r="B8" s="27">
        <f>IF(A8&gt;200,"",IF($C$1='Adj-Mixed'!$A$21,VLOOKUP(A8,'800'!$A$6:$AB$188,2,FALSE),IF($C$1='Adj-Mixed'!$A$20,VLOOKUP(A8,'800'!$A$6:$AB$188,11,FALSE),IF($C$1='Adj-Mixed'!$A$19,VLOOKUP(A8,'800'!$A$6:$AB$188,20,FALSE)))))</f>
        <v>6.7643657309262917</v>
      </c>
      <c r="C8" s="25">
        <f t="shared" si="4"/>
        <v>177.02488435529506</v>
      </c>
      <c r="D8" s="26">
        <f t="shared" si="5"/>
        <v>0.92593252066332199</v>
      </c>
      <c r="E8" s="26">
        <f>IF(A8&gt;200,"",IF($C$1='Adj-Mixed'!$A$21,VLOOKUP(A8,'800'!$A$7:$AB$188,8,FALSE),IF($C$1='Adj-Mixed'!$A$20,VLOOKUP(A8,'800'!$A$7:$AB$188,17,FALSE),IF($C$1='Adj-Mixed'!$A$19,VLOOKUP(A8,'800'!$A$7:$AB$188,26,FALSE)))))</f>
        <v>1.0799923079530864</v>
      </c>
      <c r="F8" s="26">
        <f t="shared" si="1"/>
        <v>0.19118551342000334</v>
      </c>
      <c r="G8" s="27">
        <f t="shared" si="8"/>
        <v>0.69018551572989828</v>
      </c>
      <c r="I8" s="127">
        <f t="shared" si="6"/>
        <v>12.938032272606209</v>
      </c>
      <c r="J8" s="25">
        <f>IF(A8&gt;200,"",C8*'Adj-Barrows'!$C$6)</f>
        <v>278.22741785899331</v>
      </c>
      <c r="K8" s="26">
        <f>IF(A8&gt;200,"",D8*'Adj-Barrows'!$C$7)</f>
        <v>0.58046904662442877</v>
      </c>
      <c r="L8" s="1">
        <f t="shared" si="2"/>
        <v>1.7227447455040843</v>
      </c>
      <c r="M8" s="26">
        <f t="shared" si="3"/>
        <v>0.47931482217174992</v>
      </c>
      <c r="N8" s="30">
        <f t="shared" si="9"/>
        <v>1.7303410798225314</v>
      </c>
    </row>
    <row r="9" spans="1:16" ht="15" customHeight="1" x14ac:dyDescent="0.25">
      <c r="A9" s="114">
        <f t="shared" si="7"/>
        <v>27</v>
      </c>
      <c r="B9" s="27">
        <f>IF(A9&gt;200,"",IF($C$1='Adj-Mixed'!$A$21,VLOOKUP(A9,'800'!$A$6:$AB$188,2,FALSE),IF($C$1='Adj-Mixed'!$A$20,VLOOKUP(A9,'800'!$A$6:$AB$188,11,FALSE),IF($C$1='Adj-Mixed'!$A$19,VLOOKUP(A9,'800'!$A$6:$AB$188,20,FALSE)))))</f>
        <v>6.9634040724034874</v>
      </c>
      <c r="C9" s="25">
        <f t="shared" si="4"/>
        <v>199.03834147719567</v>
      </c>
      <c r="D9" s="26">
        <f t="shared" si="5"/>
        <v>0.91389010307300089</v>
      </c>
      <c r="E9" s="26">
        <f>IF(A9&gt;200,"",IF($C$1='Adj-Mixed'!$A$21,VLOOKUP(A9,'800'!$A$7:$AB$188,8,FALSE),IF($C$1='Adj-Mixed'!$A$20,VLOOKUP(A9,'800'!$A$7:$AB$188,17,FALSE),IF($C$1='Adj-Mixed'!$A$19,VLOOKUP(A9,'800'!$A$7:$AB$188,26,FALSE)))))</f>
        <v>1.0942234702372313</v>
      </c>
      <c r="F9" s="26">
        <f t="shared" si="1"/>
        <v>0.21779242472144011</v>
      </c>
      <c r="G9" s="27">
        <f t="shared" si="8"/>
        <v>0.90797794045133839</v>
      </c>
      <c r="I9" s="127">
        <f t="shared" si="6"/>
        <v>13.250857918592743</v>
      </c>
      <c r="J9" s="25">
        <f>IF(A9&gt;200,"",C9*'Adj-Barrows'!$C$6)</f>
        <v>312.82564598653437</v>
      </c>
      <c r="K9" s="26">
        <f>IF(A9&gt;200,"",D9*'Adj-Barrows'!$C$7)</f>
        <v>0.57291962968344134</v>
      </c>
      <c r="L9" s="1">
        <f t="shared" si="2"/>
        <v>1.7454455183400435</v>
      </c>
      <c r="M9" s="26">
        <f t="shared" si="3"/>
        <v>0.54602012180902548</v>
      </c>
      <c r="N9" s="30">
        <f t="shared" si="9"/>
        <v>2.2763612016315569</v>
      </c>
    </row>
    <row r="10" spans="1:16" ht="15" customHeight="1" x14ac:dyDescent="0.25">
      <c r="A10" s="114">
        <f t="shared" si="7"/>
        <v>28</v>
      </c>
      <c r="B10" s="27">
        <f>IF(A10&gt;200,"",IF($C$1='Adj-Mixed'!$A$21,VLOOKUP(A10,'800'!$A$6:$AB$188,2,FALSE),IF($C$1='Adj-Mixed'!$A$20,VLOOKUP(A10,'800'!$A$6:$AB$188,11,FALSE),IF($C$1='Adj-Mixed'!$A$19,VLOOKUP(A10,'800'!$A$6:$AB$188,20,FALSE)))))</f>
        <v>7.183876569499378</v>
      </c>
      <c r="C10" s="25">
        <f t="shared" si="4"/>
        <v>220.47249709589067</v>
      </c>
      <c r="D10" s="26">
        <f t="shared" si="5"/>
        <v>0.90209941108536196</v>
      </c>
      <c r="E10" s="26">
        <f>IF(A10&gt;200,"",IF($C$1='Adj-Mixed'!$A$21,VLOOKUP(A10,'800'!$A$7:$AB$188,8,FALSE),IF($C$1='Adj-Mixed'!$A$20,VLOOKUP(A10,'800'!$A$7:$AB$188,17,FALSE),IF($C$1='Adj-Mixed'!$A$19,VLOOKUP(A10,'800'!$A$7:$AB$188,26,FALSE)))))</f>
        <v>1.1085252774933627</v>
      </c>
      <c r="F10" s="26">
        <f t="shared" si="1"/>
        <v>0.24439933602287681</v>
      </c>
      <c r="G10" s="27">
        <f t="shared" si="8"/>
        <v>1.1523772764742153</v>
      </c>
      <c r="I10" s="127">
        <f t="shared" si="6"/>
        <v>13.597371313019256</v>
      </c>
      <c r="J10" s="25">
        <f>IF(A10&gt;200,"",C10*'Adj-Barrows'!$C$6)</f>
        <v>346.51339442651215</v>
      </c>
      <c r="K10" s="26">
        <f>IF(A10&gt;200,"",D10*'Adj-Barrows'!$C$7)</f>
        <v>0.56552802005274816</v>
      </c>
      <c r="L10" s="1">
        <f t="shared" si="2"/>
        <v>1.7682589801770168</v>
      </c>
      <c r="M10" s="26">
        <f t="shared" si="3"/>
        <v>0.61272542144630071</v>
      </c>
      <c r="N10" s="30">
        <f t="shared" si="9"/>
        <v>2.8890866230778576</v>
      </c>
    </row>
    <row r="11" spans="1:16" ht="15" customHeight="1" x14ac:dyDescent="0.25">
      <c r="A11" s="114">
        <f t="shared" si="7"/>
        <v>29</v>
      </c>
      <c r="B11" s="27">
        <f>IF(A11&gt;200,"",IF($C$1='Adj-Mixed'!$A$21,VLOOKUP(A11,'800'!$A$6:$AB$188,2,FALSE),IF($C$1='Adj-Mixed'!$A$20,VLOOKUP(A11,'800'!$A$6:$AB$188,11,FALSE),IF($C$1='Adj-Mixed'!$A$19,VLOOKUP(A11,'800'!$A$6:$AB$188,20,FALSE)))))</f>
        <v>7.4252039207107545</v>
      </c>
      <c r="C11" s="25">
        <f t="shared" si="4"/>
        <v>241.32735121137648</v>
      </c>
      <c r="D11" s="26">
        <f t="shared" si="5"/>
        <v>0.89048630278466967</v>
      </c>
      <c r="E11" s="26">
        <f>IF(A11&gt;200,"",IF($C$1='Adj-Mixed'!$A$21,VLOOKUP(A11,'800'!$A$7:$AB$188,8,FALSE),IF($C$1='Adj-Mixed'!$A$20,VLOOKUP(A11,'800'!$A$7:$AB$188,17,FALSE),IF($C$1='Adj-Mixed'!$A$19,VLOOKUP(A11,'800'!$A$7:$AB$188,26,FALSE)))))</f>
        <v>1.1229818997472127</v>
      </c>
      <c r="F11" s="26">
        <f t="shared" si="1"/>
        <v>0.27100624732431433</v>
      </c>
      <c r="G11" s="27">
        <f t="shared" si="8"/>
        <v>1.4233835237985297</v>
      </c>
      <c r="I11" s="127">
        <f t="shared" si="6"/>
        <v>13.976661976198177</v>
      </c>
      <c r="J11" s="25">
        <f>IF(A11&gt;200,"",C11*'Adj-Barrows'!$C$6)</f>
        <v>379.29066317892108</v>
      </c>
      <c r="K11" s="26">
        <f>IF(A11&gt;200,"",D11*'Adj-Barrows'!$C$7)</f>
        <v>0.55824773800927918</v>
      </c>
      <c r="L11" s="1">
        <f t="shared" si="2"/>
        <v>1.7913193944430779</v>
      </c>
      <c r="M11" s="26">
        <f t="shared" si="3"/>
        <v>0.67943072108357838</v>
      </c>
      <c r="N11" s="30">
        <f t="shared" si="9"/>
        <v>3.5685173441614362</v>
      </c>
    </row>
    <row r="12" spans="1:16" ht="15" customHeight="1" x14ac:dyDescent="0.25">
      <c r="A12" s="114">
        <f t="shared" si="7"/>
        <v>30</v>
      </c>
      <c r="B12" s="27">
        <f>IF(A12&gt;200,"",IF($C$1='Adj-Mixed'!$A$21,VLOOKUP(A12,'800'!$A$6:$AB$188,2,FALSE),IF($C$1='Adj-Mixed'!$A$20,VLOOKUP(A12,'800'!$A$6:$AB$188,11,FALSE),IF($C$1='Adj-Mixed'!$A$19,VLOOKUP(A12,'800'!$A$6:$AB$188,20,FALSE)))))</f>
        <v>7.6868068245344086</v>
      </c>
      <c r="C12" s="25">
        <f t="shared" si="4"/>
        <v>261.60290382365406</v>
      </c>
      <c r="D12" s="26">
        <f t="shared" si="5"/>
        <v>0.87900314969816329</v>
      </c>
      <c r="E12" s="26">
        <f>IF(A12&gt;200,"",IF($C$1='Adj-Mixed'!$A$21,VLOOKUP(A12,'800'!$A$7:$AB$188,8,FALSE),IF($C$1='Adj-Mixed'!$A$20,VLOOKUP(A12,'800'!$A$7:$AB$188,17,FALSE),IF($C$1='Adj-Mixed'!$A$19,VLOOKUP(A12,'800'!$A$7:$AB$188,26,FALSE)))))</f>
        <v>1.137652351238315</v>
      </c>
      <c r="F12" s="26">
        <f t="shared" si="1"/>
        <v>0.29761315862575083</v>
      </c>
      <c r="G12" s="27">
        <f t="shared" si="8"/>
        <v>1.7209966824242806</v>
      </c>
      <c r="I12" s="127">
        <f t="shared" si="6"/>
        <v>14.38781942844194</v>
      </c>
      <c r="J12" s="25">
        <f>IF(A12&gt;200,"",C12*'Adj-Barrows'!$C$6)</f>
        <v>411.15745224376263</v>
      </c>
      <c r="K12" s="26">
        <f>IF(A12&gt;200,"",D12*'Adj-Barrows'!$C$7)</f>
        <v>0.55104892516318582</v>
      </c>
      <c r="L12" s="1">
        <f t="shared" si="2"/>
        <v>1.8147208974300482</v>
      </c>
      <c r="M12" s="26">
        <f t="shared" si="3"/>
        <v>0.74613602072085317</v>
      </c>
      <c r="N12" s="30">
        <f t="shared" si="9"/>
        <v>4.3146533648822896</v>
      </c>
    </row>
    <row r="13" spans="1:16" ht="15" customHeight="1" x14ac:dyDescent="0.25">
      <c r="A13" s="114">
        <f t="shared" si="7"/>
        <v>31</v>
      </c>
      <c r="B13" s="27">
        <f>IF(A13&gt;200,"",IF($C$1='Adj-Mixed'!$A$21,VLOOKUP(A13,'800'!$A$6:$AB$188,2,FALSE),IF($C$1='Adj-Mixed'!$A$20,VLOOKUP(A13,'800'!$A$6:$AB$188,11,FALSE),IF($C$1='Adj-Mixed'!$A$19,VLOOKUP(A13,'800'!$A$6:$AB$188,20,FALSE)))))</f>
        <v>7.9681059794671345</v>
      </c>
      <c r="C13" s="25">
        <f t="shared" si="4"/>
        <v>281.29915493272597</v>
      </c>
      <c r="D13" s="26">
        <f t="shared" si="5"/>
        <v>0.86761795775288808</v>
      </c>
      <c r="E13" s="26">
        <f>IF(A13&gt;200,"",IF($C$1='Adj-Mixed'!$A$21,VLOOKUP(A13,'800'!$A$7:$AB$188,8,FALSE),IF($C$1='Adj-Mixed'!$A$20,VLOOKUP(A13,'800'!$A$7:$AB$188,17,FALSE),IF($C$1='Adj-Mixed'!$A$19,VLOOKUP(A13,'800'!$A$7:$AB$188,26,FALSE)))))</f>
        <v>1.1525810306992477</v>
      </c>
      <c r="F13" s="26">
        <f t="shared" si="1"/>
        <v>0.32422006992718866</v>
      </c>
      <c r="G13" s="27">
        <f t="shared" si="8"/>
        <v>2.045216752351469</v>
      </c>
      <c r="I13" s="127">
        <f t="shared" si="6"/>
        <v>14.829933190062981</v>
      </c>
      <c r="J13" s="25">
        <f>IF(A13&gt;200,"",C13*'Adj-Barrows'!$C$6)</f>
        <v>442.11376162104085</v>
      </c>
      <c r="K13" s="26">
        <f>IF(A13&gt;200,"",D13*'Adj-Barrows'!$C$7)</f>
        <v>0.54391152436277368</v>
      </c>
      <c r="L13" s="1">
        <f t="shared" si="2"/>
        <v>1.8385343115712844</v>
      </c>
      <c r="M13" s="26">
        <f t="shared" si="3"/>
        <v>0.81284132035813128</v>
      </c>
      <c r="N13" s="30">
        <f t="shared" si="9"/>
        <v>5.1274946852404213</v>
      </c>
    </row>
    <row r="14" spans="1:16" ht="15" customHeight="1" x14ac:dyDescent="0.25">
      <c r="A14" s="114">
        <f t="shared" si="7"/>
        <v>32</v>
      </c>
      <c r="B14" s="27">
        <f>IF(A14&gt;200,"",IF($C$1='Adj-Mixed'!$A$21,VLOOKUP(A14,'800'!$A$6:$AB$188,2,FALSE),IF($C$1='Adj-Mixed'!$A$20,VLOOKUP(A14,'800'!$A$6:$AB$188,11,FALSE),IF($C$1='Adj-Mixed'!$A$19,VLOOKUP(A14,'800'!$A$6:$AB$188,20,FALSE)))))</f>
        <v>8.2685220840057205</v>
      </c>
      <c r="C14" s="25">
        <f t="shared" si="4"/>
        <v>300.41610453858601</v>
      </c>
      <c r="D14" s="26">
        <f t="shared" si="5"/>
        <v>0.85630843866827244</v>
      </c>
      <c r="E14" s="26">
        <f>IF(A14&gt;200,"",IF($C$1='Adj-Mixed'!$A$21,VLOOKUP(A14,'800'!$A$7:$AB$188,8,FALSE),IF($C$1='Adj-Mixed'!$A$20,VLOOKUP(A14,'800'!$A$7:$AB$188,17,FALSE),IF($C$1='Adj-Mixed'!$A$19,VLOOKUP(A14,'800'!$A$7:$AB$188,26,FALSE)))))</f>
        <v>1.1678035096269705</v>
      </c>
      <c r="F14" s="26">
        <f t="shared" si="1"/>
        <v>0.3508269812286236</v>
      </c>
      <c r="G14" s="27">
        <f t="shared" si="8"/>
        <v>2.3960437335800928</v>
      </c>
      <c r="I14" s="127">
        <f t="shared" si="6"/>
        <v>15.302092781373727</v>
      </c>
      <c r="J14" s="25">
        <f>IF(A14&gt;200,"",C14*'Adj-Barrows'!$C$6)</f>
        <v>472.15959131074595</v>
      </c>
      <c r="K14" s="26">
        <f>IF(A14&gt;200,"",D14*'Adj-Barrows'!$C$7)</f>
        <v>0.53682156303802764</v>
      </c>
      <c r="L14" s="1">
        <f t="shared" si="2"/>
        <v>1.8628163785759879</v>
      </c>
      <c r="M14" s="26">
        <f t="shared" si="3"/>
        <v>0.87954661999540229</v>
      </c>
      <c r="N14" s="30">
        <f t="shared" si="9"/>
        <v>6.0070413052358234</v>
      </c>
    </row>
    <row r="15" spans="1:16" ht="15" customHeight="1" x14ac:dyDescent="0.25">
      <c r="A15" s="114">
        <f t="shared" si="7"/>
        <v>33</v>
      </c>
      <c r="B15" s="27">
        <f>IF(A15&gt;200,"",IF($C$1='Adj-Mixed'!$A$21,VLOOKUP(A15,'800'!$A$6:$AB$188,2,FALSE),IF($C$1='Adj-Mixed'!$A$20,VLOOKUP(A15,'800'!$A$6:$AB$188,11,FALSE),IF($C$1='Adj-Mixed'!$A$19,VLOOKUP(A15,'800'!$A$6:$AB$188,20,FALSE)))))</f>
        <v>8.5874758366469628</v>
      </c>
      <c r="C15" s="25">
        <f t="shared" si="4"/>
        <v>318.95375264124226</v>
      </c>
      <c r="D15" s="26">
        <f t="shared" si="5"/>
        <v>0.84505858894438823</v>
      </c>
      <c r="E15" s="26">
        <f>IF(A15&gt;200,"",IF($C$1='Adj-Mixed'!$A$21,VLOOKUP(A15,'800'!$A$7:$AB$188,8,FALSE),IF($C$1='Adj-Mixed'!$A$20,VLOOKUP(A15,'800'!$A$7:$AB$188,17,FALSE),IF($C$1='Adj-Mixed'!$A$19,VLOOKUP(A15,'800'!$A$7:$AB$188,26,FALSE)))))</f>
        <v>1.1833499038796329</v>
      </c>
      <c r="F15" s="26">
        <f t="shared" si="1"/>
        <v>0.37743389253006221</v>
      </c>
      <c r="G15" s="27">
        <f t="shared" si="8"/>
        <v>2.773477626110155</v>
      </c>
      <c r="I15" s="127">
        <f t="shared" si="6"/>
        <v>15.803387722686617</v>
      </c>
      <c r="J15" s="25">
        <f>IF(A15&gt;200,"",C15*'Adj-Barrows'!$C$6)</f>
        <v>501.29494131289067</v>
      </c>
      <c r="K15" s="26">
        <f>IF(A15&gt;200,"",D15*'Adj-Barrows'!$C$7)</f>
        <v>0.5297690085611495</v>
      </c>
      <c r="L15" s="1">
        <f t="shared" si="2"/>
        <v>1.8876151376162904</v>
      </c>
      <c r="M15" s="26">
        <f t="shared" si="3"/>
        <v>0.9462519196326824</v>
      </c>
      <c r="N15" s="30">
        <f t="shared" si="9"/>
        <v>6.9532932248685055</v>
      </c>
    </row>
    <row r="16" spans="1:16" ht="15" customHeight="1" x14ac:dyDescent="0.25">
      <c r="A16" s="114">
        <f t="shared" si="7"/>
        <v>34</v>
      </c>
      <c r="B16" s="27">
        <f>IF(A16&gt;200,"",IF($C$1='Adj-Mixed'!$A$21,VLOOKUP(A16,'800'!$A$6:$AB$188,2,FALSE),IF($C$1='Adj-Mixed'!$A$20,VLOOKUP(A16,'800'!$A$6:$AB$188,11,FALSE),IF($C$1='Adj-Mixed'!$A$19,VLOOKUP(A16,'800'!$A$6:$AB$188,20,FALSE)))))</f>
        <v>8.9243879358876512</v>
      </c>
      <c r="C16" s="25">
        <f t="shared" si="4"/>
        <v>336.91209924068846</v>
      </c>
      <c r="D16" s="26">
        <f t="shared" si="5"/>
        <v>0.83385662053378429</v>
      </c>
      <c r="E16" s="26">
        <f>IF(A16&gt;200,"",IF($C$1='Adj-Mixed'!$A$21,VLOOKUP(A16,'800'!$A$7:$AB$188,8,FALSE),IF($C$1='Adj-Mixed'!$A$20,VLOOKUP(A16,'800'!$A$7:$AB$188,17,FALSE),IF($C$1='Adj-Mixed'!$A$19,VLOOKUP(A16,'800'!$A$7:$AB$188,26,FALSE)))))</f>
        <v>1.1992469393117737</v>
      </c>
      <c r="F16" s="26">
        <f t="shared" si="1"/>
        <v>0.40404080383150021</v>
      </c>
      <c r="G16" s="27">
        <f t="shared" si="8"/>
        <v>3.1775184299416552</v>
      </c>
      <c r="I16" s="127">
        <f t="shared" si="6"/>
        <v>16.332907534314081</v>
      </c>
      <c r="J16" s="25">
        <f>IF(A16&gt;200,"",C16*'Adj-Barrows'!$C$6)</f>
        <v>529.51981162746517</v>
      </c>
      <c r="K16" s="26">
        <f>IF(A16&gt;200,"",D16*'Adj-Barrows'!$C$7)</f>
        <v>0.52274647098037408</v>
      </c>
      <c r="L16" s="1">
        <f t="shared" si="2"/>
        <v>1.9129732203157119</v>
      </c>
      <c r="M16" s="26">
        <f t="shared" si="3"/>
        <v>1.0129572192699612</v>
      </c>
      <c r="N16" s="30">
        <f t="shared" si="9"/>
        <v>7.9662504441384669</v>
      </c>
    </row>
    <row r="17" spans="1:14" ht="15" customHeight="1" x14ac:dyDescent="0.25">
      <c r="A17" s="114">
        <f t="shared" si="7"/>
        <v>35</v>
      </c>
      <c r="B17" s="27">
        <f>IF(A17&gt;200,"",IF($C$1='Adj-Mixed'!$A$21,VLOOKUP(A17,'800'!$A$6:$AB$188,2,FALSE),IF($C$1='Adj-Mixed'!$A$20,VLOOKUP(A17,'800'!$A$6:$AB$188,11,FALSE),IF($C$1='Adj-Mixed'!$A$19,VLOOKUP(A17,'800'!$A$6:$AB$188,20,FALSE)))))</f>
        <v>9.2786790802245775</v>
      </c>
      <c r="C17" s="25">
        <f t="shared" si="4"/>
        <v>354.29114433692632</v>
      </c>
      <c r="D17" s="26">
        <f t="shared" si="5"/>
        <v>0.82269365861505006</v>
      </c>
      <c r="E17" s="26">
        <f>IF(A17&gt;200,"",IF($C$1='Adj-Mixed'!$A$21,VLOOKUP(A17,'800'!$A$7:$AB$188,8,FALSE),IF($C$1='Adj-Mixed'!$A$20,VLOOKUP(A17,'800'!$A$7:$AB$188,17,FALSE),IF($C$1='Adj-Mixed'!$A$19,VLOOKUP(A17,'800'!$A$7:$AB$188,26,FALSE)))))</f>
        <v>1.2155192756480382</v>
      </c>
      <c r="F17" s="26">
        <f t="shared" si="1"/>
        <v>0.4306477151329352</v>
      </c>
      <c r="G17" s="27">
        <f t="shared" si="8"/>
        <v>3.6081661450745903</v>
      </c>
      <c r="I17" s="127">
        <f t="shared" si="6"/>
        <v>16.889741736568553</v>
      </c>
      <c r="J17" s="25">
        <f>IF(A17&gt;200,"",C17*'Adj-Barrows'!$C$6)</f>
        <v>556.83420225447207</v>
      </c>
      <c r="K17" s="26">
        <f>IF(A17&gt;200,"",D17*'Adj-Barrows'!$C$7)</f>
        <v>0.51574838665147449</v>
      </c>
      <c r="L17" s="1">
        <f t="shared" si="2"/>
        <v>1.9389299625202057</v>
      </c>
      <c r="M17" s="26">
        <f t="shared" si="3"/>
        <v>1.0796625189072322</v>
      </c>
      <c r="N17" s="30">
        <f t="shared" si="9"/>
        <v>9.0459129630456996</v>
      </c>
    </row>
    <row r="18" spans="1:14" ht="15" customHeight="1" x14ac:dyDescent="0.25">
      <c r="A18" s="114">
        <f t="shared" si="7"/>
        <v>36</v>
      </c>
      <c r="B18" s="27">
        <f>IF(A18&gt;200,"",IF($C$1='Adj-Mixed'!$A$21,VLOOKUP(A18,'800'!$A$6:$AB$188,2,FALSE),IF($C$1='Adj-Mixed'!$A$20,VLOOKUP(A18,'800'!$A$6:$AB$188,11,FALSE),IF($C$1='Adj-Mixed'!$A$19,VLOOKUP(A18,'800'!$A$6:$AB$188,20,FALSE)))))</f>
        <v>9.6497699681545335</v>
      </c>
      <c r="C18" s="25">
        <f t="shared" si="4"/>
        <v>371.0908879299559</v>
      </c>
      <c r="D18" s="26">
        <f t="shared" si="5"/>
        <v>0.81156289401309423</v>
      </c>
      <c r="E18" s="26">
        <f>IF(A18&gt;200,"",IF($C$1='Adj-Mixed'!$A$21,VLOOKUP(A18,'800'!$A$7:$AB$188,8,FALSE),IF($C$1='Adj-Mixed'!$A$20,VLOOKUP(A18,'800'!$A$7:$AB$188,17,FALSE),IF($C$1='Adj-Mixed'!$A$19,VLOOKUP(A18,'800'!$A$7:$AB$188,26,FALSE)))))</f>
        <v>1.232190391375712</v>
      </c>
      <c r="F18" s="26">
        <f t="shared" si="1"/>
        <v>0.45725462643437281</v>
      </c>
      <c r="G18" s="27">
        <f t="shared" si="8"/>
        <v>4.065420771508963</v>
      </c>
      <c r="I18" s="127">
        <f t="shared" si="6"/>
        <v>17.472979849762464</v>
      </c>
      <c r="J18" s="25">
        <f>IF(A18&gt;200,"",C18*'Adj-Barrows'!$C$6)</f>
        <v>583.23811319391154</v>
      </c>
      <c r="K18" s="26">
        <f>IF(A18&gt;200,"",D18*'Adj-Barrows'!$C$7)</f>
        <v>0.50877048688825033</v>
      </c>
      <c r="L18" s="1">
        <f t="shared" si="2"/>
        <v>1.9655228158304052</v>
      </c>
      <c r="M18" s="26">
        <f t="shared" si="3"/>
        <v>1.1463678185445094</v>
      </c>
      <c r="N18" s="30">
        <f t="shared" si="9"/>
        <v>10.19228078159021</v>
      </c>
    </row>
    <row r="19" spans="1:14" ht="15" customHeight="1" x14ac:dyDescent="0.25">
      <c r="A19" s="114">
        <f t="shared" si="7"/>
        <v>37</v>
      </c>
      <c r="B19" s="27">
        <f>IF(A19&gt;200,"",IF($C$1='Adj-Mixed'!$A$21,VLOOKUP(A19,'800'!$A$6:$AB$188,2,FALSE),IF($C$1='Adj-Mixed'!$A$20,VLOOKUP(A19,'800'!$A$6:$AB$188,11,FALSE),IF($C$1='Adj-Mixed'!$A$19,VLOOKUP(A19,'800'!$A$6:$AB$188,20,FALSE)))))</f>
        <v>10.037081298174312</v>
      </c>
      <c r="C19" s="25">
        <f t="shared" si="4"/>
        <v>387.31133001977901</v>
      </c>
      <c r="D19" s="26">
        <f t="shared" si="5"/>
        <v>0.80045901526327234</v>
      </c>
      <c r="E19" s="26">
        <f>IF(A19&gt;200,"",IF($C$1='Adj-Mixed'!$A$21,VLOOKUP(A19,'800'!$A$7:$AB$188,8,FALSE),IF($C$1='Adj-Mixed'!$A$20,VLOOKUP(A19,'800'!$A$7:$AB$188,17,FALSE),IF($C$1='Adj-Mixed'!$A$19,VLOOKUP(A19,'800'!$A$7:$AB$188,26,FALSE)))))</f>
        <v>1.2492831999288536</v>
      </c>
      <c r="F19" s="26">
        <f t="shared" si="1"/>
        <v>0.48386153773580981</v>
      </c>
      <c r="G19" s="27">
        <f t="shared" si="8"/>
        <v>4.5492823092447727</v>
      </c>
      <c r="I19" s="127">
        <f t="shared" si="6"/>
        <v>18.081711394208249</v>
      </c>
      <c r="J19" s="25">
        <f>IF(A19&gt;200,"",C19*'Adj-Barrows'!$C$6)</f>
        <v>608.73154444578643</v>
      </c>
      <c r="K19" s="26">
        <f>IF(A19&gt;200,"",D19*'Adj-Barrows'!$C$7)</f>
        <v>0.50180944192233312</v>
      </c>
      <c r="L19" s="1">
        <f t="shared" si="2"/>
        <v>1.9927883305048963</v>
      </c>
      <c r="M19" s="26">
        <f t="shared" si="3"/>
        <v>1.213073118181786</v>
      </c>
      <c r="N19" s="30">
        <f t="shared" si="9"/>
        <v>11.405353899771995</v>
      </c>
    </row>
    <row r="20" spans="1:14" ht="15" customHeight="1" x14ac:dyDescent="0.25">
      <c r="A20" s="114">
        <f t="shared" si="7"/>
        <v>38</v>
      </c>
      <c r="B20" s="27">
        <f>IF(A20&gt;200,"",IF($C$1='Adj-Mixed'!$A$21,VLOOKUP(A20,'800'!$A$6:$AB$188,2,FALSE),IF($C$1='Adj-Mixed'!$A$20,VLOOKUP(A20,'800'!$A$6:$AB$188,11,FALSE),IF($C$1='Adj-Mixed'!$A$19,VLOOKUP(A20,'800'!$A$6:$AB$188,20,FALSE)))))</f>
        <v>10.440033768780705</v>
      </c>
      <c r="C20" s="25">
        <f t="shared" si="4"/>
        <v>402.95247060639207</v>
      </c>
      <c r="D20" s="26">
        <f t="shared" si="5"/>
        <v>0.78937781828900255</v>
      </c>
      <c r="E20" s="26">
        <f>IF(A20&gt;200,"",IF($C$1='Adj-Mixed'!$A$21,VLOOKUP(A20,'800'!$A$7:$AB$188,8,FALSE),IF($C$1='Adj-Mixed'!$A$20,VLOOKUP(A20,'800'!$A$7:$AB$188,17,FALSE),IF($C$1='Adj-Mixed'!$A$19,VLOOKUP(A20,'800'!$A$7:$AB$188,26,FALSE)))))</f>
        <v>1.2668204968914969</v>
      </c>
      <c r="F20" s="26">
        <f t="shared" si="1"/>
        <v>0.51046844903724586</v>
      </c>
      <c r="G20" s="27">
        <f t="shared" si="8"/>
        <v>5.0597507582820187</v>
      </c>
      <c r="I20" s="127">
        <f t="shared" si="6"/>
        <v>18.715025890218339</v>
      </c>
      <c r="J20" s="25">
        <f>IF(A20&gt;200,"",C20*'Adj-Barrows'!$C$6)</f>
        <v>633.31449601009115</v>
      </c>
      <c r="K20" s="26">
        <f>IF(A20&gt;200,"",D20*'Adj-Barrows'!$C$7)</f>
        <v>0.49486261620926292</v>
      </c>
      <c r="L20" s="1">
        <f t="shared" si="2"/>
        <v>2.0207628688143404</v>
      </c>
      <c r="M20" s="26">
        <f t="shared" si="3"/>
        <v>1.2797784178190599</v>
      </c>
      <c r="N20" s="30">
        <f t="shared" si="9"/>
        <v>12.685132317591055</v>
      </c>
    </row>
    <row r="21" spans="1:14" ht="15" customHeight="1" x14ac:dyDescent="0.25">
      <c r="A21" s="114">
        <f t="shared" si="7"/>
        <v>39</v>
      </c>
      <c r="B21" s="27">
        <f>IF(A21&gt;200,"",IF($C$1='Adj-Mixed'!$A$21,VLOOKUP(A21,'800'!$A$6:$AB$188,2,FALSE),IF($C$1='Adj-Mixed'!$A$20,VLOOKUP(A21,'800'!$A$6:$AB$188,11,FALSE),IF($C$1='Adj-Mixed'!$A$19,VLOOKUP(A21,'800'!$A$6:$AB$188,20,FALSE)))))</f>
        <v>10.858048078470507</v>
      </c>
      <c r="C21" s="25">
        <f t="shared" si="4"/>
        <v>418.01430968980213</v>
      </c>
      <c r="D21" s="26">
        <f t="shared" si="5"/>
        <v>0.77831593209973204</v>
      </c>
      <c r="E21" s="26">
        <f>IF(A21&gt;200,"",IF($C$1='Adj-Mixed'!$A$21,VLOOKUP(A21,'800'!$A$7:$AB$188,8,FALSE),IF($C$1='Adj-Mixed'!$A$20,VLOOKUP(A21,'800'!$A$7:$AB$188,17,FALSE),IF($C$1='Adj-Mixed'!$A$19,VLOOKUP(A21,'800'!$A$7:$AB$188,26,FALSE)))))</f>
        <v>1.2848252987732258</v>
      </c>
      <c r="F21" s="26">
        <f t="shared" si="1"/>
        <v>0.53707536033868386</v>
      </c>
      <c r="G21" s="27">
        <f t="shared" si="8"/>
        <v>5.5968261186207027</v>
      </c>
      <c r="I21" s="127">
        <f t="shared" si="6"/>
        <v>19.372012858105176</v>
      </c>
      <c r="J21" s="25">
        <f>IF(A21&gt;200,"",C21*'Adj-Barrows'!$C$6)</f>
        <v>656.98696788683662</v>
      </c>
      <c r="K21" s="26">
        <f>IF(A21&gt;200,"",D21*'Adj-Barrows'!$C$7)</f>
        <v>0.48792789646796492</v>
      </c>
      <c r="L21" s="1">
        <f t="shared" si="2"/>
        <v>2.0494831454377715</v>
      </c>
      <c r="M21" s="26">
        <f t="shared" si="3"/>
        <v>1.346483717456338</v>
      </c>
      <c r="N21" s="30">
        <f t="shared" si="9"/>
        <v>14.031616035047392</v>
      </c>
    </row>
    <row r="22" spans="1:14" ht="15" customHeight="1" x14ac:dyDescent="0.25">
      <c r="A22" s="114">
        <f t="shared" si="7"/>
        <v>40</v>
      </c>
      <c r="B22" s="27">
        <f>IF(A22&gt;200,"",IF($C$1='Adj-Mixed'!$A$21,VLOOKUP(A22,'800'!$A$6:$AB$188,2,FALSE),IF($C$1='Adj-Mixed'!$A$20,VLOOKUP(A22,'800'!$A$6:$AB$188,11,FALSE),IF($C$1='Adj-Mixed'!$A$19,VLOOKUP(A22,'800'!$A$6:$AB$188,20,FALSE)))))</f>
        <v>11.290544925740504</v>
      </c>
      <c r="C22" s="25">
        <f t="shared" si="4"/>
        <v>432.49684726999681</v>
      </c>
      <c r="D22" s="26">
        <f t="shared" si="5"/>
        <v>0.76727062217440412</v>
      </c>
      <c r="E22" s="26">
        <f>IF(A22&gt;200,"",IF($C$1='Adj-Mixed'!$A$21,VLOOKUP(A22,'800'!$A$7:$AB$188,8,FALSE),IF($C$1='Adj-Mixed'!$A$20,VLOOKUP(A22,'800'!$A$7:$AB$188,17,FALSE),IF($C$1='Adj-Mixed'!$A$19,VLOOKUP(A22,'800'!$A$7:$AB$188,26,FALSE)))))</f>
        <v>1.3033211113518894</v>
      </c>
      <c r="F22" s="26">
        <f t="shared" si="1"/>
        <v>0.56368227164012052</v>
      </c>
      <c r="G22" s="27">
        <f t="shared" si="8"/>
        <v>6.1605083902608229</v>
      </c>
      <c r="I22" s="127">
        <f t="shared" si="6"/>
        <v>20.051761818181181</v>
      </c>
      <c r="J22" s="25">
        <f>IF(A22&gt;200,"",C22*'Adj-Barrows'!$C$6)</f>
        <v>679.74896007600353</v>
      </c>
      <c r="K22" s="26">
        <f>IF(A22&gt;200,"",D22*'Adj-Barrows'!$C$7)</f>
        <v>0.48100356842143144</v>
      </c>
      <c r="L22" s="1">
        <f t="shared" si="2"/>
        <v>2.0789866555082388</v>
      </c>
      <c r="M22" s="26">
        <f t="shared" si="3"/>
        <v>1.4131890170936137</v>
      </c>
      <c r="N22" s="30">
        <f t="shared" si="9"/>
        <v>15.444805052141007</v>
      </c>
    </row>
    <row r="23" spans="1:14" ht="15" customHeight="1" x14ac:dyDescent="0.25">
      <c r="A23" s="114">
        <f t="shared" si="7"/>
        <v>41</v>
      </c>
      <c r="B23" s="27">
        <f>IF(A23&gt;200,"",IF($C$1='Adj-Mixed'!$A$21,VLOOKUP(A23,'800'!$A$6:$AB$188,2,FALSE),IF($C$1='Adj-Mixed'!$A$20,VLOOKUP(A23,'800'!$A$6:$AB$188,11,FALSE),IF($C$1='Adj-Mixed'!$A$19,VLOOKUP(A23,'800'!$A$6:$AB$188,20,FALSE)))))</f>
        <v>11.736945009087494</v>
      </c>
      <c r="C23" s="25">
        <f t="shared" si="4"/>
        <v>446.4000833469903</v>
      </c>
      <c r="D23" s="26">
        <f t="shared" si="5"/>
        <v>0.76311906882242153</v>
      </c>
      <c r="E23" s="26">
        <f>IF(A23&gt;200,"",IF($C$1='Adj-Mixed'!$A$21,VLOOKUP(A23,'800'!$A$7:$AB$188,8,FALSE),IF($C$1='Adj-Mixed'!$A$20,VLOOKUP(A23,'800'!$A$7:$AB$188,17,FALSE),IF($C$1='Adj-Mixed'!$A$19,VLOOKUP(A23,'800'!$A$7:$AB$188,26,FALSE)))))</f>
        <v>1.310411495211504</v>
      </c>
      <c r="F23" s="26">
        <f t="shared" si="1"/>
        <v>0.58496780068126952</v>
      </c>
      <c r="G23" s="27">
        <f t="shared" si="8"/>
        <v>6.7454761909420924</v>
      </c>
      <c r="I23" s="127">
        <f t="shared" si="6"/>
        <v>20.753362290758794</v>
      </c>
      <c r="J23" s="25">
        <f>IF(A23&gt;200,"",C23*'Adj-Barrows'!$C$6)</f>
        <v>701.60047257761414</v>
      </c>
      <c r="K23" s="26">
        <f>IF(A23&gt;200,"",D23*'Adj-Barrows'!$C$7)</f>
        <v>0.47840095088456236</v>
      </c>
      <c r="L23" s="1">
        <f t="shared" si="2"/>
        <v>2.0902968485973994</v>
      </c>
      <c r="M23" s="26">
        <f t="shared" si="3"/>
        <v>1.4665532568034332</v>
      </c>
      <c r="N23" s="30">
        <f t="shared" si="9"/>
        <v>16.91135830894444</v>
      </c>
    </row>
    <row r="24" spans="1:14" ht="15" customHeight="1" x14ac:dyDescent="0.25">
      <c r="A24" s="114">
        <f t="shared" si="7"/>
        <v>42</v>
      </c>
      <c r="B24" s="27">
        <f>IF(A24&gt;200,"",IF($C$1='Adj-Mixed'!$A$21,VLOOKUP(A24,'800'!$A$6:$AB$188,2,FALSE),IF($C$1='Adj-Mixed'!$A$20,VLOOKUP(A24,'800'!$A$6:$AB$188,11,FALSE),IF($C$1='Adj-Mixed'!$A$19,VLOOKUP(A24,'800'!$A$6:$AB$188,20,FALSE)))))</f>
        <v>12.196669027008266</v>
      </c>
      <c r="C24" s="25">
        <f t="shared" si="4"/>
        <v>459.72401792077198</v>
      </c>
      <c r="D24" s="26">
        <f t="shared" si="5"/>
        <v>0.75830349357629412</v>
      </c>
      <c r="E24" s="26">
        <f>IF(A24&gt;200,"",IF($C$1='Adj-Mixed'!$A$21,VLOOKUP(A24,'800'!$A$7:$AB$188,8,FALSE),IF($C$1='Adj-Mixed'!$A$20,VLOOKUP(A24,'800'!$A$7:$AB$188,17,FALSE),IF($C$1='Adj-Mixed'!$A$19,VLOOKUP(A24,'800'!$A$7:$AB$188,26,FALSE)))))</f>
        <v>1.3187332096860351</v>
      </c>
      <c r="F24" s="26">
        <f t="shared" si="1"/>
        <v>0.60625332972241996</v>
      </c>
      <c r="G24" s="27">
        <f t="shared" si="8"/>
        <v>7.3517295206645121</v>
      </c>
      <c r="I24" s="127">
        <f t="shared" si="6"/>
        <v>21.475903796150448</v>
      </c>
      <c r="J24" s="25">
        <f>IF(A24&gt;200,"",C24*'Adj-Barrows'!$C$6)</f>
        <v>722.54150539165175</v>
      </c>
      <c r="K24" s="26">
        <f>IF(A24&gt;200,"",D24*'Adj-Barrows'!$C$7)</f>
        <v>0.47538205662424921</v>
      </c>
      <c r="L24" s="1">
        <f t="shared" si="2"/>
        <v>2.10357119303394</v>
      </c>
      <c r="M24" s="26">
        <f t="shared" si="3"/>
        <v>1.519917496513256</v>
      </c>
      <c r="N24" s="30">
        <f t="shared" si="9"/>
        <v>18.431275805457695</v>
      </c>
    </row>
    <row r="25" spans="1:14" ht="15" customHeight="1" x14ac:dyDescent="0.25">
      <c r="A25" s="114">
        <f t="shared" si="7"/>
        <v>43</v>
      </c>
      <c r="B25" s="27">
        <f>IF(A25&gt;200,"",IF($C$1='Adj-Mixed'!$A$21,VLOOKUP(A25,'800'!$A$6:$AB$188,2,FALSE),IF($C$1='Adj-Mixed'!$A$20,VLOOKUP(A25,'800'!$A$6:$AB$188,11,FALSE),IF($C$1='Adj-Mixed'!$A$19,VLOOKUP(A25,'800'!$A$6:$AB$188,20,FALSE)))))</f>
        <v>12.666687036813169</v>
      </c>
      <c r="C25" s="25">
        <f t="shared" si="4"/>
        <v>470.01800980490316</v>
      </c>
      <c r="D25" s="26">
        <f t="shared" si="5"/>
        <v>0.74898630298524072</v>
      </c>
      <c r="E25" s="26">
        <f>IF(A25&gt;200,"",IF($C$1='Adj-Mixed'!$A$21,VLOOKUP(A25,'800'!$A$7:$AB$188,8,FALSE),IF($C$1='Adj-Mixed'!$A$20,VLOOKUP(A25,'800'!$A$7:$AB$188,17,FALSE),IF($C$1='Adj-Mixed'!$A$19,VLOOKUP(A25,'800'!$A$7:$AB$188,26,FALSE)))))</f>
        <v>1.3351379004052437</v>
      </c>
      <c r="F25" s="26">
        <f t="shared" si="1"/>
        <v>0.62753885876356974</v>
      </c>
      <c r="G25" s="27">
        <f t="shared" si="8"/>
        <v>7.9792683794280821</v>
      </c>
      <c r="I25" s="127">
        <f t="shared" si="6"/>
        <v>22.214624217810361</v>
      </c>
      <c r="J25" s="25">
        <f>IF(A25&gt;200,"",C25*'Adj-Barrows'!$C$6)</f>
        <v>738.72042165991468</v>
      </c>
      <c r="K25" s="26">
        <f>IF(A25&gt;200,"",D25*'Adj-Barrows'!$C$7)</f>
        <v>0.4695410902266845</v>
      </c>
      <c r="L25" s="1">
        <f t="shared" si="2"/>
        <v>2.1297390597215275</v>
      </c>
      <c r="M25" s="26">
        <f t="shared" si="3"/>
        <v>1.5732817362230771</v>
      </c>
      <c r="N25" s="30">
        <f t="shared" si="9"/>
        <v>20.004557541680771</v>
      </c>
    </row>
    <row r="26" spans="1:14" ht="15" customHeight="1" x14ac:dyDescent="0.25">
      <c r="A26" s="114">
        <f t="shared" si="7"/>
        <v>44</v>
      </c>
      <c r="B26" s="27">
        <f>IF(A26&gt;200,"",IF($C$1='Adj-Mixed'!$A$21,VLOOKUP(A26,'800'!$A$6:$AB$188,2,FALSE),IF($C$1='Adj-Mixed'!$A$20,VLOOKUP(A26,'800'!$A$6:$AB$188,11,FALSE),IF($C$1='Adj-Mixed'!$A$19,VLOOKUP(A26,'800'!$A$6:$AB$188,20,FALSE)))))</f>
        <v>13.147229538247222</v>
      </c>
      <c r="C26" s="25">
        <f t="shared" si="4"/>
        <v>480.54250143405318</v>
      </c>
      <c r="D26" s="26">
        <f t="shared" si="5"/>
        <v>0.7406356950606573</v>
      </c>
      <c r="E26" s="26">
        <f>IF(A26&gt;200,"",IF($C$1='Adj-Mixed'!$A$21,VLOOKUP(A26,'800'!$A$7:$AB$188,8,FALSE),IF($C$1='Adj-Mixed'!$A$20,VLOOKUP(A26,'800'!$A$7:$AB$188,17,FALSE),IF($C$1='Adj-Mixed'!$A$19,VLOOKUP(A26,'800'!$A$7:$AB$188,26,FALSE)))))</f>
        <v>1.3501914729050442</v>
      </c>
      <c r="F26" s="26">
        <f t="shared" si="1"/>
        <v>0.64882438780471852</v>
      </c>
      <c r="G26" s="27">
        <f t="shared" si="8"/>
        <v>8.6280927672328005</v>
      </c>
      <c r="I26" s="127">
        <f t="shared" si="6"/>
        <v>22.969885828811655</v>
      </c>
      <c r="J26" s="25">
        <f>IF(A26&gt;200,"",C26*'Adj-Barrows'!$C$6)</f>
        <v>755.26161100129559</v>
      </c>
      <c r="K26" s="26">
        <f>IF(A26&gt;200,"",D26*'Adj-Barrows'!$C$7)</f>
        <v>0.46430607653773354</v>
      </c>
      <c r="L26" s="1">
        <f t="shared" si="2"/>
        <v>2.1537516964172907</v>
      </c>
      <c r="M26" s="26">
        <f t="shared" si="3"/>
        <v>1.6266459759328964</v>
      </c>
      <c r="N26" s="30">
        <f t="shared" si="9"/>
        <v>21.631203517613667</v>
      </c>
    </row>
    <row r="27" spans="1:14" ht="15" customHeight="1" x14ac:dyDescent="0.25">
      <c r="A27" s="114">
        <f>A26+1</f>
        <v>45</v>
      </c>
      <c r="B27" s="27">
        <f>IF(A27&gt;200,"",IF($C$1='Adj-Mixed'!$A$21,VLOOKUP(A27,'800'!$A$6:$AB$188,2,FALSE),IF($C$1='Adj-Mixed'!$A$20,VLOOKUP(A27,'800'!$A$6:$AB$188,11,FALSE),IF($C$1='Adj-Mixed'!$A$19,VLOOKUP(A27,'800'!$A$6:$AB$188,20,FALSE)))))</f>
        <v>13.638532192331372</v>
      </c>
      <c r="C27" s="25">
        <f t="shared" si="4"/>
        <v>491.30265408414965</v>
      </c>
      <c r="D27" s="26">
        <f t="shared" si="5"/>
        <v>0.7331672636582599</v>
      </c>
      <c r="E27" s="26">
        <f>IF(A27&gt;200,"",IF($C$1='Adj-Mixed'!$A$21,VLOOKUP(A27,'800'!$A$7:$AB$188,8,FALSE),IF($C$1='Adj-Mixed'!$A$20,VLOOKUP(A27,'800'!$A$7:$AB$188,17,FALSE),IF($C$1='Adj-Mixed'!$A$19,VLOOKUP(A27,'800'!$A$7:$AB$188,26,FALSE)))))</f>
        <v>1.3639452408313129</v>
      </c>
      <c r="F27" s="26">
        <f t="shared" si="1"/>
        <v>0.67010991684586874</v>
      </c>
      <c r="G27" s="27">
        <f t="shared" si="8"/>
        <v>9.2982026840786691</v>
      </c>
      <c r="I27" s="127">
        <f t="shared" si="6"/>
        <v>23.742059014129229</v>
      </c>
      <c r="J27" s="25">
        <f>IF(A27&gt;200,"",C27*'Adj-Barrows'!$C$6)</f>
        <v>772.1731853175728</v>
      </c>
      <c r="K27" s="26">
        <f>IF(A27&gt;200,"",D27*'Adj-Barrows'!$C$7)</f>
        <v>0.45962410116783953</v>
      </c>
      <c r="L27" s="1">
        <f t="shared" si="2"/>
        <v>2.1756909558466191</v>
      </c>
      <c r="M27" s="26">
        <f t="shared" si="3"/>
        <v>1.6800102156427188</v>
      </c>
      <c r="N27" s="30">
        <f t="shared" si="9"/>
        <v>23.311213733256384</v>
      </c>
    </row>
    <row r="28" spans="1:14" ht="15" customHeight="1" x14ac:dyDescent="0.25">
      <c r="A28" s="114">
        <f>A27+1</f>
        <v>46</v>
      </c>
      <c r="B28" s="27">
        <f>IF(A28&gt;200,"",IF($C$1='Adj-Mixed'!$A$21,VLOOKUP(A28,'800'!$A$6:$AB$188,2,FALSE),IF($C$1='Adj-Mixed'!$A$20,VLOOKUP(A28,'800'!$A$6:$AB$188,11,FALSE),IF($C$1='Adj-Mixed'!$A$19,VLOOKUP(A28,'800'!$A$6:$AB$188,20,FALSE)))))</f>
        <v>14.140835936932101</v>
      </c>
      <c r="C28" s="25">
        <f t="shared" si="4"/>
        <v>502.30374460072903</v>
      </c>
      <c r="D28" s="26">
        <f t="shared" si="5"/>
        <v>0.72650716400988924</v>
      </c>
      <c r="E28" s="26">
        <f>IF(A28&gt;200,"",IF($C$1='Adj-Mixed'!$A$21,VLOOKUP(A28,'800'!$A$7:$AB$188,8,FALSE),IF($C$1='Adj-Mixed'!$A$20,VLOOKUP(A28,'800'!$A$7:$AB$188,17,FALSE),IF($C$1='Adj-Mixed'!$A$19,VLOOKUP(A28,'800'!$A$7:$AB$188,26,FALSE)))))</f>
        <v>1.3764489182468516</v>
      </c>
      <c r="F28" s="26">
        <f t="shared" si="1"/>
        <v>0.69139544588701629</v>
      </c>
      <c r="G28" s="27">
        <f t="shared" si="8"/>
        <v>9.9895981299656853</v>
      </c>
      <c r="I28" s="127">
        <f t="shared" si="6"/>
        <v>24.531522452278814</v>
      </c>
      <c r="J28" s="25">
        <f>IF(A28&gt;200,"",C28*'Adj-Barrows'!$C$6)</f>
        <v>789.46343814958595</v>
      </c>
      <c r="K28" s="26">
        <f>IF(A28&gt;200,"",D28*'Adj-Barrows'!$C$7)</f>
        <v>0.45544887067637357</v>
      </c>
      <c r="L28" s="1">
        <f t="shared" si="2"/>
        <v>2.1956361391673442</v>
      </c>
      <c r="M28" s="26">
        <f t="shared" si="3"/>
        <v>1.7333744553525345</v>
      </c>
      <c r="N28" s="30">
        <f t="shared" si="9"/>
        <v>25.04458818860892</v>
      </c>
    </row>
    <row r="29" spans="1:14" ht="15" customHeight="1" x14ac:dyDescent="0.25">
      <c r="A29" s="114">
        <f t="shared" ref="A29:A40" si="10">A28+1</f>
        <v>47</v>
      </c>
      <c r="B29" s="27">
        <f>IF(A29&gt;200,"",IF($C$1='Adj-Mixed'!$A$21,VLOOKUP(A29,'800'!$A$6:$AB$188,2,FALSE),IF($C$1='Adj-Mixed'!$A$20,VLOOKUP(A29,'800'!$A$6:$AB$188,11,FALSE),IF($C$1='Adj-Mixed'!$A$19,VLOOKUP(A29,'800'!$A$6:$AB$188,20,FALSE)))))</f>
        <v>14.654387104918877</v>
      </c>
      <c r="C29" s="25">
        <f t="shared" si="4"/>
        <v>513.55116798677614</v>
      </c>
      <c r="D29" s="26">
        <f t="shared" si="5"/>
        <v>0.71737667297405072</v>
      </c>
      <c r="E29" s="26">
        <f>IF(A29&gt;200,"",IF($C$1='Adj-Mixed'!$A$21,VLOOKUP(A29,'800'!$A$7:$AB$188,8,FALSE),IF($C$1='Adj-Mixed'!$A$20,VLOOKUP(A29,'800'!$A$7:$AB$188,17,FALSE),IF($C$1='Adj-Mixed'!$A$19,VLOOKUP(A29,'800'!$A$7:$AB$188,26,FALSE)))))</f>
        <v>1.3939678242592821</v>
      </c>
      <c r="F29" s="26">
        <f t="shared" si="1"/>
        <v>0.71587380428433933</v>
      </c>
      <c r="G29" s="27">
        <f t="shared" si="8"/>
        <v>10.705471934250024</v>
      </c>
      <c r="I29" s="127">
        <f t="shared" si="6"/>
        <v>25.33866330102332</v>
      </c>
      <c r="J29" s="25">
        <f>IF(A29&gt;200,"",C29*'Adj-Barrows'!$C$6)</f>
        <v>807.14084874450566</v>
      </c>
      <c r="K29" s="26">
        <f>IF(A29&gt;200,"",D29*'Adj-Barrows'!$C$7)</f>
        <v>0.44972494662304274</v>
      </c>
      <c r="L29" s="1">
        <f t="shared" si="2"/>
        <v>2.2235813412374368</v>
      </c>
      <c r="M29" s="26">
        <f t="shared" si="3"/>
        <v>1.7947433310188308</v>
      </c>
      <c r="N29" s="30">
        <f t="shared" si="9"/>
        <v>26.839331519627752</v>
      </c>
    </row>
    <row r="30" spans="1:14" ht="15" customHeight="1" x14ac:dyDescent="0.25">
      <c r="A30" s="114">
        <f t="shared" si="10"/>
        <v>48</v>
      </c>
      <c r="B30" s="27">
        <f>IF(A30&gt;200,"",IF($C$1='Adj-Mixed'!$A$21,VLOOKUP(A30,'800'!$A$6:$AB$188,2,FALSE),IF($C$1='Adj-Mixed'!$A$20,VLOOKUP(A30,'800'!$A$6:$AB$188,11,FALSE),IF($C$1='Adj-Mixed'!$A$19,VLOOKUP(A30,'800'!$A$6:$AB$188,20,FALSE)))))</f>
        <v>15.179437544967294</v>
      </c>
      <c r="C30" s="25">
        <f t="shared" si="4"/>
        <v>525.0504400484175</v>
      </c>
      <c r="D30" s="26">
        <f t="shared" si="5"/>
        <v>0.709190121288508</v>
      </c>
      <c r="E30" s="26">
        <f>IF(A30&gt;200,"",IF($C$1='Adj-Mixed'!$A$21,VLOOKUP(A30,'800'!$A$7:$AB$188,8,FALSE),IF($C$1='Adj-Mixed'!$A$20,VLOOKUP(A30,'800'!$A$7:$AB$188,17,FALSE),IF($C$1='Adj-Mixed'!$A$19,VLOOKUP(A30,'800'!$A$7:$AB$188,26,FALSE)))))</f>
        <v>1.410059122345257</v>
      </c>
      <c r="F30" s="26">
        <f t="shared" si="1"/>
        <v>0.7403521626816626</v>
      </c>
      <c r="G30" s="27">
        <f t="shared" si="8"/>
        <v>11.445824096931688</v>
      </c>
      <c r="I30" s="127">
        <f t="shared" si="6"/>
        <v>26.163877387237353</v>
      </c>
      <c r="J30" s="25">
        <f>IF(A30&gt;200,"",C30*'Adj-Barrows'!$C$6)</f>
        <v>825.21408621403123</v>
      </c>
      <c r="K30" s="26">
        <f>IF(A30&gt;200,"",D30*'Adj-Barrows'!$C$7)</f>
        <v>0.44459278013574371</v>
      </c>
      <c r="L30" s="1">
        <f t="shared" si="2"/>
        <v>2.2492493011125338</v>
      </c>
      <c r="M30" s="26">
        <f t="shared" si="3"/>
        <v>1.8561122066851281</v>
      </c>
      <c r="N30" s="30">
        <f t="shared" si="9"/>
        <v>28.695443726312881</v>
      </c>
    </row>
    <row r="31" spans="1:14" ht="15" customHeight="1" x14ac:dyDescent="0.25">
      <c r="A31" s="114">
        <f t="shared" si="10"/>
        <v>49</v>
      </c>
      <c r="B31" s="27">
        <f>IF(A31&gt;200,"",IF($C$1='Adj-Mixed'!$A$21,VLOOKUP(A31,'800'!$A$6:$AB$188,2,FALSE),IF($C$1='Adj-Mixed'!$A$20,VLOOKUP(A31,'800'!$A$6:$AB$188,11,FALSE),IF($C$1='Adj-Mixed'!$A$19,VLOOKUP(A31,'800'!$A$6:$AB$188,20,FALSE)))))</f>
        <v>15.716244745067236</v>
      </c>
      <c r="C31" s="25">
        <f t="shared" si="4"/>
        <v>536.8072000999415</v>
      </c>
      <c r="D31" s="26">
        <f t="shared" si="5"/>
        <v>0.70186425005979203</v>
      </c>
      <c r="E31" s="26">
        <f>IF(A31&gt;200,"",IF($C$1='Adj-Mixed'!$A$21,VLOOKUP(A31,'800'!$A$7:$AB$188,8,FALSE),IF($C$1='Adj-Mixed'!$A$20,VLOOKUP(A31,'800'!$A$7:$AB$188,17,FALSE),IF($C$1='Adj-Mixed'!$A$19,VLOOKUP(A31,'800'!$A$7:$AB$188,26,FALSE)))))</f>
        <v>1.4247769421434553</v>
      </c>
      <c r="F31" s="26">
        <f t="shared" si="1"/>
        <v>0.76483052107898464</v>
      </c>
      <c r="G31" s="27">
        <f t="shared" si="8"/>
        <v>12.210654618010672</v>
      </c>
      <c r="I31" s="127">
        <f t="shared" si="6"/>
        <v>27.007569401023183</v>
      </c>
      <c r="J31" s="25">
        <f>IF(A31&gt;200,"",C31*'Adj-Barrows'!$C$6)</f>
        <v>843.69201378583045</v>
      </c>
      <c r="K31" s="26">
        <f>IF(A31&gt;200,"",D31*'Adj-Barrows'!$C$7)</f>
        <v>0.44000017603887093</v>
      </c>
      <c r="L31" s="1">
        <f t="shared" si="2"/>
        <v>2.272726363435948</v>
      </c>
      <c r="M31" s="26">
        <f t="shared" si="3"/>
        <v>1.9174810823514221</v>
      </c>
      <c r="N31" s="30">
        <f t="shared" si="9"/>
        <v>30.612924808664303</v>
      </c>
    </row>
    <row r="32" spans="1:14" ht="15" customHeight="1" x14ac:dyDescent="0.25">
      <c r="A32" s="114">
        <f t="shared" si="10"/>
        <v>50</v>
      </c>
      <c r="B32" s="27">
        <f>IF(A32&gt;200,"",IF($C$1='Adj-Mixed'!$A$21,VLOOKUP(A32,'800'!$A$6:$AB$188,2,FALSE),IF($C$1='Adj-Mixed'!$A$20,VLOOKUP(A32,'800'!$A$6:$AB$188,11,FALSE),IF($C$1='Adj-Mixed'!$A$19,VLOOKUP(A32,'800'!$A$6:$AB$188,20,FALSE)))))</f>
        <v>16.265071958796579</v>
      </c>
      <c r="C32" s="25">
        <f t="shared" si="4"/>
        <v>548.82721372934282</v>
      </c>
      <c r="D32" s="26">
        <f t="shared" si="5"/>
        <v>0.69532628860514312</v>
      </c>
      <c r="E32" s="26">
        <f>IF(A32&gt;200,"",IF($C$1='Adj-Mixed'!$A$21,VLOOKUP(A32,'800'!$A$7:$AB$188,8,FALSE),IF($C$1='Adj-Mixed'!$A$20,VLOOKUP(A32,'800'!$A$7:$AB$188,17,FALSE),IF($C$1='Adj-Mixed'!$A$19,VLOOKUP(A32,'800'!$A$7:$AB$188,26,FALSE)))))</f>
        <v>1.4381737270512907</v>
      </c>
      <c r="F32" s="26">
        <f t="shared" si="1"/>
        <v>0.78930887947630424</v>
      </c>
      <c r="G32" s="27">
        <f t="shared" si="8"/>
        <v>12.999963497486975</v>
      </c>
      <c r="I32" s="127">
        <f t="shared" si="6"/>
        <v>27.87015309417329</v>
      </c>
      <c r="J32" s="25">
        <f>IF(A32&gt;200,"",C32*'Adj-Barrows'!$C$6)</f>
        <v>862.58369315010623</v>
      </c>
      <c r="K32" s="26">
        <f>IF(A32&gt;200,"",D32*'Adj-Barrows'!$C$7)</f>
        <v>0.43590151423819395</v>
      </c>
      <c r="L32" s="1">
        <f t="shared" si="2"/>
        <v>2.2940961830510185</v>
      </c>
      <c r="M32" s="26">
        <f t="shared" si="3"/>
        <v>1.9788499580177097</v>
      </c>
      <c r="N32" s="30">
        <f t="shared" si="9"/>
        <v>32.591774766682015</v>
      </c>
    </row>
    <row r="33" spans="1:14" ht="15" customHeight="1" x14ac:dyDescent="0.25">
      <c r="A33" s="114">
        <f t="shared" si="10"/>
        <v>51</v>
      </c>
      <c r="B33" s="27">
        <f>IF(A33&gt;200,"",IF($C$1='Adj-Mixed'!$A$21,VLOOKUP(A33,'800'!$A$6:$AB$188,2,FALSE),IF($C$1='Adj-Mixed'!$A$20,VLOOKUP(A33,'800'!$A$6:$AB$188,11,FALSE),IF($C$1='Adj-Mixed'!$A$19,VLOOKUP(A33,'800'!$A$6:$AB$188,20,FALSE)))))</f>
        <v>16.826188334422383</v>
      </c>
      <c r="C33" s="25">
        <f t="shared" si="4"/>
        <v>561.11637562580438</v>
      </c>
      <c r="D33" s="26">
        <f t="shared" si="5"/>
        <v>0.68951238052339492</v>
      </c>
      <c r="E33" s="26">
        <f>IF(A33&gt;200,"",IF($C$1='Adj-Mixed'!$A$21,VLOOKUP(A33,'800'!$A$7:$AB$188,8,FALSE),IF($C$1='Adj-Mixed'!$A$20,VLOOKUP(A33,'800'!$A$7:$AB$188,17,FALSE),IF($C$1='Adj-Mixed'!$A$19,VLOOKUP(A33,'800'!$A$7:$AB$188,26,FALSE)))))</f>
        <v>1.4503002821224475</v>
      </c>
      <c r="F33" s="26">
        <f t="shared" si="1"/>
        <v>0.81378723787362939</v>
      </c>
      <c r="G33" s="27">
        <f t="shared" si="8"/>
        <v>13.813750735360605</v>
      </c>
      <c r="I33" s="127">
        <f t="shared" si="6"/>
        <v>28.752051483076798</v>
      </c>
      <c r="J33" s="25">
        <f>IF(A33&gt;200,"",C33*'Adj-Barrows'!$C$6)</f>
        <v>881.89838890350791</v>
      </c>
      <c r="K33" s="26">
        <f>IF(A33&gt;200,"",D33*'Adj-Barrows'!$C$7)</f>
        <v>0.43225676302138089</v>
      </c>
      <c r="L33" s="1">
        <f t="shared" si="2"/>
        <v>2.3134398014046496</v>
      </c>
      <c r="M33" s="26">
        <f t="shared" si="3"/>
        <v>2.0402188336840115</v>
      </c>
      <c r="N33" s="30">
        <f t="shared" si="9"/>
        <v>34.631993600366023</v>
      </c>
    </row>
    <row r="34" spans="1:14" ht="15" customHeight="1" x14ac:dyDescent="0.25">
      <c r="A34" s="114">
        <f t="shared" si="10"/>
        <v>52</v>
      </c>
      <c r="B34" s="27">
        <f>IF(A34&gt;200,"",IF($C$1='Adj-Mixed'!$A$21,VLOOKUP(A34,'800'!$A$6:$AB$188,2,FALSE),IF($C$1='Adj-Mixed'!$A$20,VLOOKUP(A34,'800'!$A$6:$AB$188,11,FALSE),IF($C$1='Adj-Mixed'!$A$19,VLOOKUP(A34,'800'!$A$6:$AB$188,20,FALSE)))))</f>
        <v>17.399869046892867</v>
      </c>
      <c r="C34" s="25">
        <f t="shared" si="4"/>
        <v>573.68071247048397</v>
      </c>
      <c r="D34" s="26">
        <f t="shared" si="5"/>
        <v>0.68436628560508661</v>
      </c>
      <c r="E34" s="26">
        <f>IF(A34&gt;200,"",IF($C$1='Adj-Mixed'!$A$21,VLOOKUP(A34,'800'!$A$7:$AB$188,8,FALSE),IF($C$1='Adj-Mixed'!$A$20,VLOOKUP(A34,'800'!$A$7:$AB$188,17,FALSE),IF($C$1='Adj-Mixed'!$A$19,VLOOKUP(A34,'800'!$A$7:$AB$188,26,FALSE)))))</f>
        <v>1.4612058206751724</v>
      </c>
      <c r="F34" s="26">
        <f t="shared" si="1"/>
        <v>0.83826559627095121</v>
      </c>
      <c r="G34" s="27">
        <f t="shared" si="8"/>
        <v>14.652016331631556</v>
      </c>
      <c r="I34" s="127">
        <f t="shared" si="6"/>
        <v>29.653697056169335</v>
      </c>
      <c r="J34" s="25">
        <f>IF(A34&gt;200,"",C34*'Adj-Barrows'!$C$6)</f>
        <v>901.64557309253826</v>
      </c>
      <c r="K34" s="26">
        <f>IF(A34&gt;200,"",D34*'Adj-Barrows'!$C$7)</f>
        <v>0.42903066528271488</v>
      </c>
      <c r="L34" s="1">
        <f t="shared" si="2"/>
        <v>2.3308357208943051</v>
      </c>
      <c r="M34" s="26">
        <f t="shared" si="3"/>
        <v>2.101587709350305</v>
      </c>
      <c r="N34" s="30">
        <f t="shared" si="9"/>
        <v>36.733581309716328</v>
      </c>
    </row>
    <row r="35" spans="1:14" ht="15" customHeight="1" x14ac:dyDescent="0.25">
      <c r="A35" s="114">
        <f t="shared" si="10"/>
        <v>53</v>
      </c>
      <c r="B35" s="27">
        <f>IF(A35&gt;200,"",IF($C$1='Adj-Mixed'!$A$21,VLOOKUP(A35,'800'!$A$6:$AB$188,2,FALSE),IF($C$1='Adj-Mixed'!$A$20,VLOOKUP(A35,'800'!$A$6:$AB$188,11,FALSE),IF($C$1='Adj-Mixed'!$A$19,VLOOKUP(A35,'800'!$A$6:$AB$188,20,FALSE)))))</f>
        <v>17.986395432784896</v>
      </c>
      <c r="C35" s="25">
        <f t="shared" si="4"/>
        <v>586.52638589202866</v>
      </c>
      <c r="D35" s="26">
        <f t="shared" si="5"/>
        <v>0.67983830279929724</v>
      </c>
      <c r="E35" s="26">
        <f>IF(A35&gt;200,"",IF($C$1='Adj-Mixed'!$A$21,VLOOKUP(A35,'800'!$A$7:$AB$188,8,FALSE),IF($C$1='Adj-Mixed'!$A$20,VLOOKUP(A35,'800'!$A$7:$AB$188,17,FALSE),IF($C$1='Adj-Mixed'!$A$19,VLOOKUP(A35,'800'!$A$7:$AB$188,26,FALSE)))))</f>
        <v>1.4709380096449514</v>
      </c>
      <c r="F35" s="26">
        <f t="shared" si="1"/>
        <v>0.86274395466826725</v>
      </c>
      <c r="G35" s="27">
        <f t="shared" si="8"/>
        <v>15.514760286299824</v>
      </c>
      <c r="I35" s="127">
        <f t="shared" si="6"/>
        <v>30.575531986028029</v>
      </c>
      <c r="J35" s="25">
        <f>IF(A35&gt;200,"",C35*'Adj-Barrows'!$C$6)</f>
        <v>921.8349298586927</v>
      </c>
      <c r="K35" s="26">
        <f>IF(A35&gt;200,"",D35*'Adj-Barrows'!$C$7)</f>
        <v>0.4261920633287351</v>
      </c>
      <c r="L35" s="1">
        <f t="shared" si="2"/>
        <v>2.3463599772121264</v>
      </c>
      <c r="M35" s="26">
        <f t="shared" si="3"/>
        <v>2.1629565850165844</v>
      </c>
      <c r="N35" s="30">
        <f t="shared" si="9"/>
        <v>38.896537894732916</v>
      </c>
    </row>
    <row r="36" spans="1:14" ht="15" customHeight="1" x14ac:dyDescent="0.25">
      <c r="A36" s="114">
        <f t="shared" si="10"/>
        <v>54</v>
      </c>
      <c r="B36" s="27">
        <f>IF(A36&gt;200,"",IF($C$1='Adj-Mixed'!$A$21,VLOOKUP(A36,'800'!$A$6:$AB$188,2,FALSE),IF($C$1='Adj-Mixed'!$A$20,VLOOKUP(A36,'800'!$A$6:$AB$188,11,FALSE),IF($C$1='Adj-Mixed'!$A$19,VLOOKUP(A36,'800'!$A$6:$AB$188,20,FALSE)))))</f>
        <v>18.586055128273212</v>
      </c>
      <c r="C36" s="25">
        <f t="shared" si="4"/>
        <v>599.65969548831663</v>
      </c>
      <c r="D36" s="26">
        <f t="shared" si="5"/>
        <v>0.67588437154643721</v>
      </c>
      <c r="E36" s="26">
        <f>IF(A36&gt;200,"",IF($C$1='Adj-Mixed'!$A$21,VLOOKUP(A36,'800'!$A$7:$AB$188,8,FALSE),IF($C$1='Adj-Mixed'!$A$20,VLOOKUP(A36,'800'!$A$7:$AB$188,17,FALSE),IF($C$1='Adj-Mixed'!$A$19,VLOOKUP(A36,'800'!$A$7:$AB$188,26,FALSE)))))</f>
        <v>1.4795430137139873</v>
      </c>
      <c r="F36" s="26">
        <f t="shared" si="1"/>
        <v>0.88722231306559596</v>
      </c>
      <c r="G36" s="27">
        <f t="shared" si="8"/>
        <v>16.401982599365418</v>
      </c>
      <c r="I36" s="127">
        <f t="shared" si="6"/>
        <v>31.518008346215716</v>
      </c>
      <c r="J36" s="25">
        <f>IF(A36&gt;200,"",C36*'Adj-Barrows'!$C$6)</f>
        <v>942.47636018768605</v>
      </c>
      <c r="K36" s="26">
        <f>IF(A36&gt;200,"",D36*'Adj-Barrows'!$C$7)</f>
        <v>0.4237133355018714</v>
      </c>
      <c r="L36" s="1">
        <f t="shared" si="2"/>
        <v>2.3600862097378648</v>
      </c>
      <c r="M36" s="26">
        <f t="shared" si="3"/>
        <v>2.2243254606828948</v>
      </c>
      <c r="N36" s="30">
        <f t="shared" si="9"/>
        <v>41.120863355415807</v>
      </c>
    </row>
    <row r="37" spans="1:14" ht="15" customHeight="1" x14ac:dyDescent="0.25">
      <c r="A37" s="114">
        <f t="shared" si="10"/>
        <v>55</v>
      </c>
      <c r="B37" s="27">
        <f>IF(A37&gt;200,"",IF($C$1='Adj-Mixed'!$A$21,VLOOKUP(A37,'800'!$A$6:$AB$188,2,FALSE),IF($C$1='Adj-Mixed'!$A$20,VLOOKUP(A37,'800'!$A$6:$AB$188,11,FALSE),IF($C$1='Adj-Mixed'!$A$19,VLOOKUP(A37,'800'!$A$6:$AB$188,20,FALSE)))))</f>
        <v>19.199142210188967</v>
      </c>
      <c r="C37" s="25">
        <f t="shared" si="4"/>
        <v>613.08708191575431</v>
      </c>
      <c r="D37" s="26">
        <f t="shared" si="5"/>
        <v>0.67089896620499545</v>
      </c>
      <c r="E37" s="26">
        <f>IF(A37&gt;200,"",IF($C$1='Adj-Mixed'!$A$21,VLOOKUP(A37,'800'!$A$7:$AB$188,8,FALSE),IF($C$1='Adj-Mixed'!$A$20,VLOOKUP(A37,'800'!$A$7:$AB$188,17,FALSE),IF($C$1='Adj-Mixed'!$A$19,VLOOKUP(A37,'800'!$A$7:$AB$188,26,FALSE)))))</f>
        <v>1.4905373988822732</v>
      </c>
      <c r="F37" s="26">
        <f t="shared" si="1"/>
        <v>0.91382922436703151</v>
      </c>
      <c r="G37" s="27">
        <f t="shared" si="8"/>
        <v>17.315811823732449</v>
      </c>
      <c r="I37" s="127">
        <f t="shared" si="6"/>
        <v>32.481588332980571</v>
      </c>
      <c r="J37" s="25">
        <f>IF(A37&gt;200,"",C37*'Adj-Barrows'!$C$6)</f>
        <v>963.57998676485624</v>
      </c>
      <c r="K37" s="26">
        <f>IF(A37&gt;200,"",D37*'Adj-Barrows'!$C$7)</f>
        <v>0.42058797439725237</v>
      </c>
      <c r="L37" s="1">
        <f t="shared" si="2"/>
        <v>2.3776238524962752</v>
      </c>
      <c r="M37" s="26">
        <f t="shared" si="3"/>
        <v>2.2910307603201674</v>
      </c>
      <c r="N37" s="30">
        <f t="shared" si="9"/>
        <v>43.411894115735976</v>
      </c>
    </row>
    <row r="38" spans="1:14" ht="15" customHeight="1" x14ac:dyDescent="0.25">
      <c r="A38" s="114">
        <f t="shared" si="10"/>
        <v>56</v>
      </c>
      <c r="B38" s="27">
        <f>IF(A38&gt;200,"",IF($C$1='Adj-Mixed'!$A$21,VLOOKUP(A38,'800'!$A$6:$AB$188,2,FALSE),IF($C$1='Adj-Mixed'!$A$20,VLOOKUP(A38,'800'!$A$6:$AB$188,11,FALSE),IF($C$1='Adj-Mixed'!$A$19,VLOOKUP(A38,'800'!$A$6:$AB$188,20,FALSE)))))</f>
        <v>19.825957340236837</v>
      </c>
      <c r="C38" s="25">
        <f t="shared" si="4"/>
        <v>626.81513004786996</v>
      </c>
      <c r="D38" s="26">
        <f t="shared" si="5"/>
        <v>0.66651536055909522</v>
      </c>
      <c r="E38" s="26">
        <f>IF(A38&gt;200,"",IF($C$1='Adj-Mixed'!$A$21,VLOOKUP(A38,'800'!$A$7:$AB$188,8,FALSE),IF($C$1='Adj-Mixed'!$A$20,VLOOKUP(A38,'800'!$A$7:$AB$188,17,FALSE),IF($C$1='Adj-Mixed'!$A$19,VLOOKUP(A38,'800'!$A$7:$AB$188,26,FALSE)))))</f>
        <v>1.5003405160252674</v>
      </c>
      <c r="F38" s="26">
        <f t="shared" si="1"/>
        <v>0.9404361356684664</v>
      </c>
      <c r="G38" s="27">
        <f t="shared" si="8"/>
        <v>18.256247959400916</v>
      </c>
      <c r="I38" s="127">
        <f t="shared" si="6"/>
        <v>33.466744491920053</v>
      </c>
      <c r="J38" s="25">
        <f>IF(A38&gt;200,"",C38*'Adj-Barrows'!$C$6)</f>
        <v>985.15615893947893</v>
      </c>
      <c r="K38" s="26">
        <f>IF(A38&gt;200,"",D38*'Adj-Barrows'!$C$7)</f>
        <v>0.41783988278877282</v>
      </c>
      <c r="L38" s="1">
        <f t="shared" si="2"/>
        <v>2.3932612495622441</v>
      </c>
      <c r="M38" s="26">
        <f t="shared" si="3"/>
        <v>2.3577360599574382</v>
      </c>
      <c r="N38" s="30">
        <f t="shared" si="9"/>
        <v>45.769630175693415</v>
      </c>
    </row>
    <row r="39" spans="1:14" ht="15" customHeight="1" x14ac:dyDescent="0.25">
      <c r="A39" s="114">
        <f t="shared" si="10"/>
        <v>57</v>
      </c>
      <c r="B39" s="27">
        <f>IF(A39&gt;200,"",IF($C$1='Adj-Mixed'!$A$21,VLOOKUP(A39,'800'!$A$6:$AB$188,2,FALSE),IF($C$1='Adj-Mixed'!$A$20,VLOOKUP(A39,'800'!$A$6:$AB$188,11,FALSE),IF($C$1='Adj-Mixed'!$A$19,VLOOKUP(A39,'800'!$A$6:$AB$188,20,FALSE)))))</f>
        <v>20.466807912441382</v>
      </c>
      <c r="C39" s="25">
        <f t="shared" si="4"/>
        <v>640.85057220454541</v>
      </c>
      <c r="D39" s="26">
        <f t="shared" si="5"/>
        <v>0.6590641871915226</v>
      </c>
      <c r="E39" s="26">
        <f>IF(A39&gt;200,"",IF($C$1='Adj-Mixed'!$A$21,VLOOKUP(A39,'800'!$A$7:$AB$188,8,FALSE),IF($C$1='Adj-Mixed'!$A$20,VLOOKUP(A39,'800'!$A$7:$AB$188,17,FALSE),IF($C$1='Adj-Mixed'!$A$19,VLOOKUP(A39,'800'!$A$7:$AB$188,26,FALSE)))))</f>
        <v>1.5173028961887778</v>
      </c>
      <c r="F39" s="26">
        <f t="shared" si="1"/>
        <v>0.97236442923019217</v>
      </c>
      <c r="G39" s="27">
        <f t="shared" si="8"/>
        <v>19.22861238863111</v>
      </c>
      <c r="I39" s="127">
        <f t="shared" si="6"/>
        <v>34.473959949720154</v>
      </c>
      <c r="J39" s="25">
        <f>IF(A39&gt;200,"",C39*'Adj-Barrows'!$C$6)</f>
        <v>1007.2154578001041</v>
      </c>
      <c r="K39" s="26">
        <f>IF(A39&gt;200,"",D39*'Adj-Barrows'!$C$7)</f>
        <v>0.41316872651724484</v>
      </c>
      <c r="L39" s="1">
        <f t="shared" si="2"/>
        <v>2.4203187119929854</v>
      </c>
      <c r="M39" s="26">
        <f t="shared" si="3"/>
        <v>2.4377824195221729</v>
      </c>
      <c r="N39" s="30">
        <f t="shared" si="9"/>
        <v>48.207412595215587</v>
      </c>
    </row>
    <row r="40" spans="1:14" x14ac:dyDescent="0.25">
      <c r="A40" s="114">
        <f t="shared" si="10"/>
        <v>58</v>
      </c>
      <c r="B40" s="27">
        <f>IF(A40&gt;200,"",IF($C$1='Adj-Mixed'!$A$21,VLOOKUP(A40,'800'!$A$6:$AB$188,2,FALSE),IF($C$1='Adj-Mixed'!$A$20,VLOOKUP(A40,'800'!$A$6:$AB$188,11,FALSE),IF($C$1='Adj-Mixed'!$A$19,VLOOKUP(A40,'800'!$A$6:$AB$188,20,FALSE)))))</f>
        <v>21.122008203894996</v>
      </c>
      <c r="C40" s="25">
        <f t="shared" si="4"/>
        <v>655.20029145361389</v>
      </c>
      <c r="D40" s="26">
        <f t="shared" si="5"/>
        <v>0.65239972030482252</v>
      </c>
      <c r="E40" s="26">
        <f>IF(A40&gt;200,"",IF($C$1='Adj-Mixed'!$A$21,VLOOKUP(A40,'800'!$A$7:$AB$188,8,FALSE),IF($C$1='Adj-Mixed'!$A$20,VLOOKUP(A40,'800'!$A$7:$AB$188,17,FALSE),IF($C$1='Adj-Mixed'!$A$19,VLOOKUP(A40,'800'!$A$7:$AB$188,26,FALSE)))))</f>
        <v>1.5328026191255373</v>
      </c>
      <c r="F40" s="26">
        <f t="shared" si="1"/>
        <v>1.0042927227919147</v>
      </c>
      <c r="G40" s="27">
        <f t="shared" si="8"/>
        <v>20.232905111423023</v>
      </c>
      <c r="H40" s="1"/>
      <c r="I40" s="127">
        <f t="shared" si="6"/>
        <v>35.503728651083783</v>
      </c>
      <c r="J40" s="25">
        <f>IF(A40&gt;200,"",C40*'Adj-Barrows'!$C$6)</f>
        <v>1029.7687013636291</v>
      </c>
      <c r="K40" s="26">
        <f>IF(A40&gt;200,"",D40*'Adj-Barrows'!$C$7)</f>
        <v>0.40899075819487557</v>
      </c>
      <c r="L40" s="1">
        <f t="shared" si="2"/>
        <v>2.4450430234991298</v>
      </c>
      <c r="M40" s="26">
        <f t="shared" si="3"/>
        <v>2.5178287790869001</v>
      </c>
      <c r="N40" s="30">
        <f t="shared" si="9"/>
        <v>50.725241374302485</v>
      </c>
    </row>
    <row r="41" spans="1:14" x14ac:dyDescent="0.25">
      <c r="A41" s="25">
        <f>A40+1</f>
        <v>59</v>
      </c>
      <c r="B41" s="27">
        <f>IF(A41&gt;200,"",IF($C$1='Adj-Mixed'!$A$21,VLOOKUP(A41,'800'!$A$6:$AB$188,2,FALSE),IF($C$1='Adj-Mixed'!$A$20,VLOOKUP(A41,'800'!$A$6:$AB$188,11,FALSE),IF($C$1='Adj-Mixed'!$A$19,VLOOKUP(A41,'800'!$A$6:$AB$188,20,FALSE)))))</f>
        <v>21.791879528881307</v>
      </c>
      <c r="C41" s="25">
        <f t="shared" si="4"/>
        <v>669.87132498631036</v>
      </c>
      <c r="D41" s="26">
        <f t="shared" si="5"/>
        <v>0.64645603053248279</v>
      </c>
      <c r="E41" s="26">
        <f>IF(A41&gt;200,"",IF($C$1='Adj-Mixed'!$A$21,VLOOKUP(A41,'800'!$A$7:$AB$188,8,FALSE),IF($C$1='Adj-Mixed'!$A$20,VLOOKUP(A41,'800'!$A$7:$AB$188,17,FALSE),IF($C$1='Adj-Mixed'!$A$19,VLOOKUP(A41,'800'!$A$7:$AB$188,26,FALSE)))))</f>
        <v>1.5468956166690946</v>
      </c>
      <c r="F41" s="26">
        <f>IF(A41&gt;200,"",(E41*C41)/1000)</f>
        <v>1.0362210163536421</v>
      </c>
      <c r="G41" s="27">
        <f t="shared" si="8"/>
        <v>21.269126127776666</v>
      </c>
      <c r="H41" s="1"/>
      <c r="I41" s="127">
        <f t="shared" si="6"/>
        <v>36.556555600964231</v>
      </c>
      <c r="J41" s="25">
        <f>IF(A41&gt;200,"",C41*'Adj-Barrows'!$C$6)</f>
        <v>1052.8269498804441</v>
      </c>
      <c r="K41" s="26">
        <f>IF(A41&gt;200,"",D41*'Adj-Barrows'!$C$7)</f>
        <v>0.4052646465629936</v>
      </c>
      <c r="L41" s="1">
        <f t="shared" si="2"/>
        <v>2.4675234034868172</v>
      </c>
      <c r="M41" s="26">
        <f t="shared" si="3"/>
        <v>2.5978751386516383</v>
      </c>
      <c r="N41" s="30">
        <f t="shared" si="9"/>
        <v>53.323116512954122</v>
      </c>
    </row>
    <row r="42" spans="1:14" x14ac:dyDescent="0.25">
      <c r="A42" s="25">
        <f t="shared" ref="A42:A105" si="11">A41+1</f>
        <v>60</v>
      </c>
      <c r="B42" s="27">
        <f>IF(A42&gt;200,"",IF($C$1='Adj-Mixed'!$A$21,VLOOKUP(A42,'800'!$A$6:$AB$188,2,FALSE),IF($C$1='Adj-Mixed'!$A$20,VLOOKUP(A42,'800'!$A$6:$AB$188,11,FALSE),IF($C$1='Adj-Mixed'!$A$19,VLOOKUP(A42,'800'!$A$6:$AB$188,20,FALSE)))))</f>
        <v>22.476366758624497</v>
      </c>
      <c r="C42" s="68">
        <f>IF(A42&gt;200,"",(B42-B41)*1000)</f>
        <v>684.48722974319048</v>
      </c>
      <c r="D42" s="136">
        <f t="shared" si="5"/>
        <v>0.64467005342256645</v>
      </c>
      <c r="E42" s="136">
        <f>IF(A42&gt;200,"",IF($C$1='Adj-Mixed'!$A$21,VLOOKUP(A42,'800'!$A$7:$AB$188,8,FALSE),IF($C$1='Adj-Mixed'!$A$20,VLOOKUP(A42,'800'!$A$7:$AB$188,17,FALSE),IF($C$1='Adj-Mixed'!$A$19,VLOOKUP(A42,'800'!$A$7:$AB$188,26,FALSE)))))</f>
        <v>1.5511810959590564</v>
      </c>
      <c r="F42" s="136">
        <f t="shared" ref="F42:F105" si="12">IF(A42&gt;200,"",(E42*C42)/1000)</f>
        <v>1.0617636512030206</v>
      </c>
      <c r="G42" s="27">
        <f t="shared" si="8"/>
        <v>22.330889778979685</v>
      </c>
      <c r="H42" s="1"/>
      <c r="I42" s="127">
        <f t="shared" si="6"/>
        <v>37.632354154272008</v>
      </c>
      <c r="J42" s="68">
        <f>IF(A42&gt;200,"",C42*'Adj-Barrows'!$C$6)</f>
        <v>1075.7985533077795</v>
      </c>
      <c r="K42" s="136">
        <f>IF(A42&gt;200,"",D42*'Adj-Barrows'!$C$7)</f>
        <v>0.4041450137526636</v>
      </c>
      <c r="L42" s="138">
        <f t="shared" si="2"/>
        <v>2.4743593659972731</v>
      </c>
      <c r="M42" s="136">
        <f t="shared" si="3"/>
        <v>2.6619122263034209</v>
      </c>
      <c r="N42" s="30">
        <f t="shared" si="9"/>
        <v>55.985028739257544</v>
      </c>
    </row>
    <row r="43" spans="1:14" x14ac:dyDescent="0.25">
      <c r="A43" s="25">
        <f t="shared" si="11"/>
        <v>61</v>
      </c>
      <c r="B43" s="27">
        <f>IF(A43&gt;200,"",IF($C$1='Adj-Mixed'!$A$21,VLOOKUP(A43,'800'!$A$6:$AB$188,2,FALSE),IF($C$1='Adj-Mixed'!$A$20,VLOOKUP(A43,'800'!$A$6:$AB$188,11,FALSE),IF($C$1='Adj-Mixed'!$A$19,VLOOKUP(A43,'800'!$A$6:$AB$188,20,FALSE)))))</f>
        <v>23.189952370296691</v>
      </c>
      <c r="C43" s="25">
        <f>IF(A43&gt;200,"",(B43-B42)*1000)</f>
        <v>713.58561167219386</v>
      </c>
      <c r="D43" s="26">
        <f t="shared" si="5"/>
        <v>0.63748444626227441</v>
      </c>
      <c r="E43" s="26">
        <f>IF(A43&gt;200,"",IF($C$1='Adj-Mixed'!$A$21,VLOOKUP(A43,'800'!$A$7:$AB$188,8,FALSE),IF($C$1='Adj-Mixed'!$A$20,VLOOKUP(A43,'800'!$A$7:$AB$188,17,FALSE),IF($C$1='Adj-Mixed'!$A$19,VLOOKUP(A43,'800'!$A$7:$AB$188,26,FALSE)))))</f>
        <v>1.568665723318023</v>
      </c>
      <c r="F43" s="26">
        <f t="shared" si="12"/>
        <v>1.1193772896830958</v>
      </c>
      <c r="G43" s="27">
        <f t="shared" si="8"/>
        <v>23.450267068662782</v>
      </c>
      <c r="H43" s="1"/>
      <c r="I43" s="127">
        <f t="shared" si="6"/>
        <v>38.75388620825381</v>
      </c>
      <c r="J43" s="25">
        <f>IF(A43&gt;200,"",C43*'Adj-Barrows'!$C$6)</f>
        <v>1121.5320539818006</v>
      </c>
      <c r="K43" s="26">
        <f>IF(A43&gt;200,"",D43*'Adj-Barrows'!$C$7)</f>
        <v>0.39964034149559208</v>
      </c>
      <c r="L43" s="1">
        <f t="shared" si="2"/>
        <v>2.5022498886315003</v>
      </c>
      <c r="M43" s="26">
        <f t="shared" si="3"/>
        <v>2.8063534571726181</v>
      </c>
      <c r="N43" s="30">
        <f t="shared" si="9"/>
        <v>58.791382196430163</v>
      </c>
    </row>
    <row r="44" spans="1:14" x14ac:dyDescent="0.25">
      <c r="A44" s="25">
        <f t="shared" si="11"/>
        <v>62</v>
      </c>
      <c r="B44" s="27">
        <f>IF(A44&gt;200,"",IF($C$1='Adj-Mixed'!$A$21,VLOOKUP(A44,'800'!$A$6:$AB$188,2,FALSE),IF($C$1='Adj-Mixed'!$A$20,VLOOKUP(A44,'800'!$A$6:$AB$188,11,FALSE),IF($C$1='Adj-Mixed'!$A$19,VLOOKUP(A44,'800'!$A$6:$AB$188,20,FALSE)))))</f>
        <v>23.913713530291634</v>
      </c>
      <c r="C44" s="25">
        <f t="shared" si="4"/>
        <v>723.76115999494323</v>
      </c>
      <c r="D44" s="26">
        <f t="shared" si="5"/>
        <v>0.62813837608213263</v>
      </c>
      <c r="E44" s="26">
        <f>IF(A44&gt;200,"",IF($C$1='Adj-Mixed'!$A$21,VLOOKUP(A44,'800'!$A$7:$AB$188,8,FALSE),IF($C$1='Adj-Mixed'!$A$20,VLOOKUP(A44,'800'!$A$7:$AB$188,17,FALSE),IF($C$1='Adj-Mixed'!$A$19,VLOOKUP(A44,'800'!$A$7:$AB$188,26,FALSE)))))</f>
        <v>1.5920058988232306</v>
      </c>
      <c r="F44" s="26">
        <f t="shared" si="12"/>
        <v>1.1522320360510938</v>
      </c>
      <c r="G44" s="27">
        <f t="shared" si="8"/>
        <v>24.602499104713875</v>
      </c>
      <c r="H44" s="1"/>
      <c r="I44" s="127">
        <f t="shared" si="6"/>
        <v>39.891411022493294</v>
      </c>
      <c r="J44" s="25">
        <f>IF(A44&gt;200,"",C44*'Adj-Barrows'!$C$6)</f>
        <v>1137.5248142394819</v>
      </c>
      <c r="K44" s="26">
        <f>IF(A44&gt;200,"",D44*'Adj-Barrows'!$C$7)</f>
        <v>0.39378127042282596</v>
      </c>
      <c r="L44" s="1">
        <f t="shared" si="2"/>
        <v>2.539480861865882</v>
      </c>
      <c r="M44" s="26">
        <f t="shared" si="3"/>
        <v>2.8887224956587065</v>
      </c>
      <c r="N44" s="30">
        <f t="shared" si="9"/>
        <v>61.680104692088868</v>
      </c>
    </row>
    <row r="45" spans="1:14" x14ac:dyDescent="0.25">
      <c r="A45" s="25">
        <f t="shared" si="11"/>
        <v>63</v>
      </c>
      <c r="B45" s="27">
        <f>IF(A45&gt;200,"",IF($C$1='Adj-Mixed'!$A$21,VLOOKUP(A45,'800'!$A$6:$AB$188,2,FALSE),IF($C$1='Adj-Mixed'!$A$20,VLOOKUP(A45,'800'!$A$6:$AB$188,11,FALSE),IF($C$1='Adj-Mixed'!$A$19,VLOOKUP(A45,'800'!$A$6:$AB$188,20,FALSE)))))</f>
        <v>24.647493620409822</v>
      </c>
      <c r="C45" s="25">
        <f t="shared" si="4"/>
        <v>733.7800901181879</v>
      </c>
      <c r="D45" s="26">
        <f t="shared" si="5"/>
        <v>0.61908423484130748</v>
      </c>
      <c r="E45" s="26">
        <f>IF(A45&gt;200,"",IF($C$1='Adj-Mixed'!$A$21,VLOOKUP(A45,'800'!$A$7:$AB$188,8,FALSE),IF($C$1='Adj-Mixed'!$A$20,VLOOKUP(A45,'800'!$A$7:$AB$188,17,FALSE),IF($C$1='Adj-Mixed'!$A$19,VLOOKUP(A45,'800'!$A$7:$AB$188,26,FALSE)))))</f>
        <v>1.6152890733138026</v>
      </c>
      <c r="F45" s="26">
        <f t="shared" si="12"/>
        <v>1.1852669617831264</v>
      </c>
      <c r="G45" s="27">
        <f t="shared" si="8"/>
        <v>25.787766066496999</v>
      </c>
      <c r="H45" s="1"/>
      <c r="I45" s="127">
        <f t="shared" si="6"/>
        <v>41.044682442460278</v>
      </c>
      <c r="J45" s="25">
        <f>IF(A45&gt;200,"",C45*'Adj-Barrows'!$C$6)</f>
        <v>1153.2714199669872</v>
      </c>
      <c r="K45" s="26">
        <f>IF(A45&gt;200,"",D45*'Adj-Barrows'!$C$7)</f>
        <v>0.38810521021673267</v>
      </c>
      <c r="L45" s="1">
        <f t="shared" si="2"/>
        <v>2.5766209101948467</v>
      </c>
      <c r="M45" s="26">
        <f t="shared" si="3"/>
        <v>2.9715432558170414</v>
      </c>
      <c r="N45" s="30">
        <f t="shared" si="9"/>
        <v>64.651647947905914</v>
      </c>
    </row>
    <row r="46" spans="1:14" x14ac:dyDescent="0.25">
      <c r="A46" s="25">
        <f t="shared" si="11"/>
        <v>64</v>
      </c>
      <c r="B46" s="27">
        <f>IF(A46&gt;200,"",IF($C$1='Adj-Mixed'!$A$21,VLOOKUP(A46,'800'!$A$6:$AB$188,2,FALSE),IF($C$1='Adj-Mixed'!$A$20,VLOOKUP(A46,'800'!$A$6:$AB$188,11,FALSE),IF($C$1='Adj-Mixed'!$A$19,VLOOKUP(A46,'800'!$A$6:$AB$188,20,FALSE)))))</f>
        <v>25.391133415879338</v>
      </c>
      <c r="C46" s="25">
        <f t="shared" si="4"/>
        <v>743.639795469516</v>
      </c>
      <c r="D46" s="26">
        <f t="shared" si="5"/>
        <v>0.61031137034781602</v>
      </c>
      <c r="E46" s="26">
        <f>IF(A46&gt;200,"",IF($C$1='Adj-Mixed'!$A$21,VLOOKUP(A46,'800'!$A$7:$AB$188,8,FALSE),IF($C$1='Adj-Mixed'!$A$20,VLOOKUP(A46,'800'!$A$7:$AB$188,17,FALSE),IF($C$1='Adj-Mixed'!$A$19,VLOOKUP(A46,'800'!$A$7:$AB$188,26,FALSE)))))</f>
        <v>1.6385078970921034</v>
      </c>
      <c r="F46" s="26">
        <f t="shared" si="12"/>
        <v>1.2184596774687586</v>
      </c>
      <c r="G46" s="27">
        <f t="shared" si="8"/>
        <v>27.006225743965757</v>
      </c>
      <c r="H46" s="1"/>
      <c r="I46" s="127">
        <f t="shared" si="6"/>
        <v>42.213450216912911</v>
      </c>
      <c r="J46" s="25">
        <f>IF(A46&gt;200,"",C46*'Adj-Barrows'!$C$6)</f>
        <v>1168.7677744526352</v>
      </c>
      <c r="K46" s="26">
        <f>IF(A46&gt;200,"",D46*'Adj-Barrows'!$C$7)</f>
        <v>0.38260548299573149</v>
      </c>
      <c r="L46" s="1">
        <f t="shared" si="2"/>
        <v>2.6136583097821324</v>
      </c>
      <c r="M46" s="26">
        <f t="shared" si="3"/>
        <v>3.0547596059036994</v>
      </c>
      <c r="N46" s="30">
        <f t="shared" si="9"/>
        <v>67.706407553809612</v>
      </c>
    </row>
    <row r="47" spans="1:14" x14ac:dyDescent="0.25">
      <c r="A47" s="25">
        <f t="shared" si="11"/>
        <v>65</v>
      </c>
      <c r="B47" s="27">
        <f>IF(A47&gt;200,"",IF($C$1='Adj-Mixed'!$A$21,VLOOKUP(A47,'800'!$A$6:$AB$188,2,FALSE),IF($C$1='Adj-Mixed'!$A$20,VLOOKUP(A47,'800'!$A$6:$AB$188,11,FALSE),IF($C$1='Adj-Mixed'!$A$19,VLOOKUP(A47,'800'!$A$6:$AB$188,20,FALSE)))))</f>
        <v>26.144471215718717</v>
      </c>
      <c r="C47" s="25">
        <f t="shared" si="4"/>
        <v>753.33779983937893</v>
      </c>
      <c r="D47" s="26">
        <f t="shared" si="5"/>
        <v>0.60180948808687984</v>
      </c>
      <c r="E47" s="26">
        <f>IF(A47&gt;200,"",IF($C$1='Adj-Mixed'!$A$21,VLOOKUP(A47,'800'!$A$7:$AB$188,8,FALSE),IF($C$1='Adj-Mixed'!$A$20,VLOOKUP(A47,'800'!$A$7:$AB$188,17,FALSE),IF($C$1='Adj-Mixed'!$A$19,VLOOKUP(A47,'800'!$A$7:$AB$188,26,FALSE)))))</f>
        <v>1.6616554238434267</v>
      </c>
      <c r="F47" s="26">
        <f t="shared" si="12"/>
        <v>1.2517878410893777</v>
      </c>
      <c r="G47" s="27">
        <f t="shared" si="8"/>
        <v>28.258013585055135</v>
      </c>
      <c r="H47" s="1"/>
      <c r="I47" s="127">
        <f t="shared" si="6"/>
        <v>43.397460202787059</v>
      </c>
      <c r="J47" s="25">
        <f>IF(A47&gt;200,"",C47*'Adj-Barrows'!$C$6)</f>
        <v>1184.0099858741476</v>
      </c>
      <c r="K47" s="26">
        <f>IF(A47&gt;200,"",D47*'Adj-Barrows'!$C$7)</f>
        <v>0.37727563510683421</v>
      </c>
      <c r="L47" s="1">
        <f t="shared" si="2"/>
        <v>2.6505819802458941</v>
      </c>
      <c r="M47" s="26">
        <f t="shared" si="3"/>
        <v>3.138315532989211</v>
      </c>
      <c r="N47" s="30">
        <f t="shared" si="9"/>
        <v>70.844723086798822</v>
      </c>
    </row>
    <row r="48" spans="1:14" x14ac:dyDescent="0.25">
      <c r="A48" s="25">
        <f t="shared" si="11"/>
        <v>66</v>
      </c>
      <c r="B48" s="27">
        <f>IF(A48&gt;200,"",IF($C$1='Adj-Mixed'!$A$21,VLOOKUP(A48,'800'!$A$6:$AB$188,2,FALSE),IF($C$1='Adj-Mixed'!$A$20,VLOOKUP(A48,'800'!$A$6:$AB$188,11,FALSE),IF($C$1='Adj-Mixed'!$A$19,VLOOKUP(A48,'800'!$A$6:$AB$188,20,FALSE)))))</f>
        <v>26.907342972772931</v>
      </c>
      <c r="C48" s="25">
        <f t="shared" si="4"/>
        <v>762.87175705421362</v>
      </c>
      <c r="D48" s="26">
        <f t="shared" si="5"/>
        <v>0.59356864680417831</v>
      </c>
      <c r="E48" s="26">
        <f>IF(A48&gt;200,"",IF($C$1='Adj-Mixed'!$A$21,VLOOKUP(A48,'800'!$A$7:$AB$188,8,FALSE),IF($C$1='Adj-Mixed'!$A$20,VLOOKUP(A48,'800'!$A$7:$AB$188,17,FALSE),IF($C$1='Adj-Mixed'!$A$19,VLOOKUP(A48,'800'!$A$7:$AB$188,26,FALSE)))))</f>
        <v>1.6847251036322102</v>
      </c>
      <c r="F48" s="26">
        <f t="shared" si="12"/>
        <v>1.2852291999612462</v>
      </c>
      <c r="G48" s="27">
        <f t="shared" si="8"/>
        <v>29.543242785016382</v>
      </c>
      <c r="H48" s="1"/>
      <c r="I48" s="127">
        <f t="shared" si="6"/>
        <v>44.596454569571961</v>
      </c>
      <c r="J48" s="25">
        <f>IF(A48&gt;200,"",C48*'Adj-Barrows'!$C$6)</f>
        <v>1198.9943667848997</v>
      </c>
      <c r="K48" s="26">
        <f>IF(A48&gt;200,"",D48*'Adj-Barrows'!$C$7)</f>
        <v>0.37210943435677724</v>
      </c>
      <c r="L48" s="1">
        <f t="shared" si="2"/>
        <v>2.6873814734866501</v>
      </c>
      <c r="M48" s="26">
        <f t="shared" si="3"/>
        <v>3.222155248112597</v>
      </c>
      <c r="N48" s="30">
        <f t="shared" si="9"/>
        <v>74.066878334911422</v>
      </c>
    </row>
    <row r="49" spans="1:14" x14ac:dyDescent="0.25">
      <c r="A49" s="25">
        <f t="shared" si="11"/>
        <v>67</v>
      </c>
      <c r="B49" s="27">
        <f>IF(A49&gt;200,"",IF($C$1='Adj-Mixed'!$A$21,VLOOKUP(A49,'800'!$A$6:$AB$188,2,FALSE),IF($C$1='Adj-Mixed'!$A$20,VLOOKUP(A49,'800'!$A$6:$AB$188,11,FALSE),IF($C$1='Adj-Mixed'!$A$19,VLOOKUP(A49,'800'!$A$6:$AB$188,20,FALSE)))))</f>
        <v>27.679582423326945</v>
      </c>
      <c r="C49" s="25">
        <f t="shared" si="4"/>
        <v>772.23945055401441</v>
      </c>
      <c r="D49" s="26">
        <f t="shared" si="5"/>
        <v>0.58557925250540643</v>
      </c>
      <c r="E49" s="26">
        <f>IF(A49&gt;200,"",IF($C$1='Adj-Mixed'!$A$21,VLOOKUP(A49,'800'!$A$7:$AB$188,8,FALSE),IF($C$1='Adj-Mixed'!$A$20,VLOOKUP(A49,'800'!$A$7:$AB$188,17,FALSE),IF($C$1='Adj-Mixed'!$A$19,VLOOKUP(A49,'800'!$A$7:$AB$188,26,FALSE)))))</f>
        <v>1.707710776502908</v>
      </c>
      <c r="F49" s="26">
        <f t="shared" si="12"/>
        <v>1.318761631751775</v>
      </c>
      <c r="G49" s="27">
        <f t="shared" si="8"/>
        <v>30.862004416768158</v>
      </c>
      <c r="H49" s="1"/>
      <c r="I49" s="127">
        <f t="shared" si="6"/>
        <v>45.810172003021954</v>
      </c>
      <c r="J49" s="25">
        <f>IF(A49&gt;200,"",C49*'Adj-Barrows'!$C$6)</f>
        <v>1213.7174334499964</v>
      </c>
      <c r="K49" s="26">
        <f>IF(A49&gt;200,"",D49*'Adj-Barrows'!$C$7)</f>
        <v>0.367100866250332</v>
      </c>
      <c r="L49" s="1">
        <f t="shared" si="2"/>
        <v>2.7240469634797426</v>
      </c>
      <c r="M49" s="26">
        <f t="shared" si="3"/>
        <v>3.3062232891118897</v>
      </c>
      <c r="N49" s="30">
        <f t="shared" si="9"/>
        <v>77.373101624023306</v>
      </c>
    </row>
    <row r="50" spans="1:14" x14ac:dyDescent="0.25">
      <c r="A50" s="25">
        <f t="shared" si="11"/>
        <v>68</v>
      </c>
      <c r="B50" s="27">
        <f>IF(A50&gt;200,"",IF($C$1='Adj-Mixed'!$A$21,VLOOKUP(A50,'800'!$A$6:$AB$188,2,FALSE),IF($C$1='Adj-Mixed'!$A$20,VLOOKUP(A50,'800'!$A$6:$AB$188,11,FALSE),IF($C$1='Adj-Mixed'!$A$19,VLOOKUP(A50,'800'!$A$6:$AB$188,20,FALSE)))))</f>
        <v>28.461021216199708</v>
      </c>
      <c r="C50" s="25">
        <f t="shared" si="4"/>
        <v>781.43879287276263</v>
      </c>
      <c r="D50" s="26">
        <f t="shared" si="5"/>
        <v>0.57783205122835768</v>
      </c>
      <c r="E50" s="26">
        <f>IF(A50&gt;200,"",IF($C$1='Adj-Mixed'!$A$21,VLOOKUP(A50,'800'!$A$7:$AB$188,8,FALSE),IF($C$1='Adj-Mixed'!$A$20,VLOOKUP(A50,'800'!$A$7:$AB$188,17,FALSE),IF($C$1='Adj-Mixed'!$A$19,VLOOKUP(A50,'800'!$A$7:$AB$188,26,FALSE)))))</f>
        <v>1.7306066665464401</v>
      </c>
      <c r="F50" s="26">
        <f t="shared" si="12"/>
        <v>1.3523631844436059</v>
      </c>
      <c r="G50" s="27">
        <f t="shared" si="8"/>
        <v>32.214367601211762</v>
      </c>
      <c r="H50" s="1"/>
      <c r="I50" s="127">
        <f t="shared" si="6"/>
        <v>47.038347908051627</v>
      </c>
      <c r="J50" s="25">
        <f>IF(A50&gt;200,"",C50*'Adj-Barrows'!$C$6)</f>
        <v>1228.1759050296714</v>
      </c>
      <c r="K50" s="26">
        <f>IF(A50&gt;200,"",D50*'Adj-Barrows'!$C$7)</f>
        <v>0.36224412945910833</v>
      </c>
      <c r="L50" s="1">
        <f t="shared" si="2"/>
        <v>2.7605692368104595</v>
      </c>
      <c r="M50" s="26">
        <f t="shared" si="3"/>
        <v>3.3904646208167555</v>
      </c>
      <c r="N50" s="30">
        <f t="shared" si="9"/>
        <v>80.763566244840064</v>
      </c>
    </row>
    <row r="51" spans="1:14" x14ac:dyDescent="0.25">
      <c r="A51" s="25">
        <f t="shared" si="11"/>
        <v>69</v>
      </c>
      <c r="B51" s="27">
        <f>IF(A51&gt;200,"",IF($C$1='Adj-Mixed'!$A$21,VLOOKUP(A51,'800'!$A$6:$AB$188,2,FALSE),IF($C$1='Adj-Mixed'!$A$20,VLOOKUP(A51,'800'!$A$6:$AB$188,11,FALSE),IF($C$1='Adj-Mixed'!$A$19,VLOOKUP(A51,'800'!$A$6:$AB$188,20,FALSE)))))</f>
        <v>29.251489041220797</v>
      </c>
      <c r="C51" s="25">
        <f t="shared" si="4"/>
        <v>790.46782502108931</v>
      </c>
      <c r="D51" s="26">
        <f t="shared" si="5"/>
        <v>0.57031812088296208</v>
      </c>
      <c r="E51" s="26">
        <f>IF(A51&gt;200,"",IF($C$1='Adj-Mixed'!$A$21,VLOOKUP(A51,'800'!$A$7:$AB$188,8,FALSE),IF($C$1='Adj-Mixed'!$A$20,VLOOKUP(A51,'800'!$A$7:$AB$188,17,FALSE),IF($C$1='Adj-Mixed'!$A$19,VLOOKUP(A51,'800'!$A$7:$AB$188,26,FALSE)))))</f>
        <v>1.753407376310975</v>
      </c>
      <c r="F51" s="26">
        <f t="shared" si="12"/>
        <v>1.3860121151284712</v>
      </c>
      <c r="G51" s="27">
        <f t="shared" si="8"/>
        <v>33.600379716340235</v>
      </c>
      <c r="H51" s="1"/>
      <c r="I51" s="127">
        <f t="shared" si="6"/>
        <v>48.280714610660652</v>
      </c>
      <c r="J51" s="25">
        <f>IF(A51&gt;200,"",C51*'Adj-Barrows'!$C$6)</f>
        <v>1242.3667026090268</v>
      </c>
      <c r="K51" s="26">
        <f>IF(A51&gt;200,"",D51*'Adj-Barrows'!$C$7)</f>
        <v>0.35753363070605709</v>
      </c>
      <c r="L51" s="1">
        <f t="shared" si="2"/>
        <v>2.7969396837584228</v>
      </c>
      <c r="M51" s="26">
        <f t="shared" si="3"/>
        <v>3.4748247323072858</v>
      </c>
      <c r="N51" s="30">
        <f t="shared" si="9"/>
        <v>84.238390977147347</v>
      </c>
    </row>
    <row r="52" spans="1:14" x14ac:dyDescent="0.25">
      <c r="A52" s="25">
        <f t="shared" si="11"/>
        <v>70</v>
      </c>
      <c r="B52" s="27">
        <f>IF(A52&gt;200,"",IF($C$1='Adj-Mixed'!$A$21,VLOOKUP(A52,'800'!$A$6:$AB$188,2,FALSE),IF($C$1='Adj-Mixed'!$A$20,VLOOKUP(A52,'800'!$A$6:$AB$188,11,FALSE),IF($C$1='Adj-Mixed'!$A$19,VLOOKUP(A52,'800'!$A$6:$AB$188,20,FALSE)))))</f>
        <v>30.050813756991207</v>
      </c>
      <c r="C52" s="25">
        <f t="shared" si="4"/>
        <v>799.32471577041042</v>
      </c>
      <c r="D52" s="26">
        <f t="shared" si="5"/>
        <v>0.56302886240361127</v>
      </c>
      <c r="E52" s="26">
        <f>IF(A52&gt;200,"",IF($C$1='Adj-Mixed'!$A$21,VLOOKUP(A52,'800'!$A$7:$AB$188,8,FALSE),IF($C$1='Adj-Mixed'!$A$20,VLOOKUP(A52,'800'!$A$7:$AB$188,17,FALSE),IF($C$1='Adj-Mixed'!$A$19,VLOOKUP(A52,'800'!$A$7:$AB$188,26,FALSE)))))</f>
        <v>1.7761078814519866</v>
      </c>
      <c r="F52" s="26">
        <f t="shared" si="12"/>
        <v>1.419686927519195</v>
      </c>
      <c r="G52" s="27">
        <f t="shared" si="8"/>
        <v>35.02006664385943</v>
      </c>
      <c r="H52" s="1"/>
      <c r="I52" s="127">
        <f t="shared" si="6"/>
        <v>49.537001558733571</v>
      </c>
      <c r="J52" s="25">
        <f>IF(A52&gt;200,"",C52*'Adj-Barrows'!$C$6)</f>
        <v>1256.2869480729189</v>
      </c>
      <c r="K52" s="26">
        <f>IF(A52&gt;200,"",D52*'Adj-Barrows'!$C$7)</f>
        <v>0.35296397921884437</v>
      </c>
      <c r="L52" s="1">
        <f t="shared" si="2"/>
        <v>2.8331502897636502</v>
      </c>
      <c r="M52" s="26">
        <f t="shared" si="3"/>
        <v>3.559249730959082</v>
      </c>
      <c r="N52" s="30">
        <f t="shared" si="9"/>
        <v>87.797640708106428</v>
      </c>
    </row>
    <row r="53" spans="1:14" x14ac:dyDescent="0.25">
      <c r="A53" s="25">
        <f t="shared" si="11"/>
        <v>71</v>
      </c>
      <c r="B53" s="27">
        <f>IF(A53&gt;200,"",IF($C$1='Adj-Mixed'!$A$21,VLOOKUP(A53,'800'!$A$6:$AB$188,2,FALSE),IF($C$1='Adj-Mixed'!$A$20,VLOOKUP(A53,'800'!$A$6:$AB$188,11,FALSE),IF($C$1='Adj-Mixed'!$A$19,VLOOKUP(A53,'800'!$A$6:$AB$188,20,FALSE)))))</f>
        <v>30.858821517830282</v>
      </c>
      <c r="C53" s="25">
        <f t="shared" si="4"/>
        <v>808.00776083907522</v>
      </c>
      <c r="D53" s="26">
        <f t="shared" si="5"/>
        <v>0.55595599041560906</v>
      </c>
      <c r="E53" s="26">
        <f>IF(A53&gt;200,"",IF($C$1='Adj-Mixed'!$A$21,VLOOKUP(A53,'800'!$A$7:$AB$188,8,FALSE),IF($C$1='Adj-Mixed'!$A$20,VLOOKUP(A53,'800'!$A$7:$AB$188,17,FALSE),IF($C$1='Adj-Mixed'!$A$19,VLOOKUP(A53,'800'!$A$7:$AB$188,26,FALSE)))))</f>
        <v>1.798703525529858</v>
      </c>
      <c r="F53" s="26">
        <f t="shared" si="12"/>
        <v>1.453366408076731</v>
      </c>
      <c r="G53" s="27">
        <f t="shared" si="8"/>
        <v>36.473433051936162</v>
      </c>
      <c r="H53" s="1"/>
      <c r="I53" s="127">
        <f t="shared" si="6"/>
        <v>50.806935521560412</v>
      </c>
      <c r="J53" s="25">
        <f>IF(A53&gt;200,"",C53*'Adj-Barrows'!$C$6)</f>
        <v>1269.9339628268399</v>
      </c>
      <c r="K53" s="26">
        <f>IF(A53&gt;200,"",D53*'Adj-Barrows'!$C$7)</f>
        <v>0.34852998087862935</v>
      </c>
      <c r="L53" s="1">
        <f t="shared" si="2"/>
        <v>2.8691936271279799</v>
      </c>
      <c r="M53" s="26">
        <f t="shared" si="3"/>
        <v>3.6436864330161494</v>
      </c>
      <c r="N53" s="30">
        <f t="shared" si="9"/>
        <v>91.441327141122571</v>
      </c>
    </row>
    <row r="54" spans="1:14" x14ac:dyDescent="0.25">
      <c r="A54" s="25">
        <f t="shared" si="11"/>
        <v>72</v>
      </c>
      <c r="B54" s="27">
        <f>IF(A54&gt;200,"",IF($C$1='Adj-Mixed'!$A$21,VLOOKUP(A54,'800'!$A$6:$AB$188,2,FALSE),IF($C$1='Adj-Mixed'!$A$20,VLOOKUP(A54,'800'!$A$6:$AB$188,11,FALSE),IF($C$1='Adj-Mixed'!$A$19,VLOOKUP(A54,'800'!$A$6:$AB$188,20,FALSE)))))</f>
        <v>31.675336899810677</v>
      </c>
      <c r="C54" s="25">
        <f t="shared" si="4"/>
        <v>816.51538198039475</v>
      </c>
      <c r="D54" s="26">
        <f t="shared" si="5"/>
        <v>0.5490915235813828</v>
      </c>
      <c r="E54" s="26">
        <f>IF(A54&gt;200,"",IF($C$1='Adj-Mixed'!$A$21,VLOOKUP(A54,'800'!$A$7:$AB$188,8,FALSE),IF($C$1='Adj-Mixed'!$A$20,VLOOKUP(A54,'800'!$A$7:$AB$188,17,FALSE),IF($C$1='Adj-Mixed'!$A$19,VLOOKUP(A54,'800'!$A$7:$AB$188,26,FALSE)))))</f>
        <v>1.8211900148769762</v>
      </c>
      <c r="F54" s="26">
        <f t="shared" si="12"/>
        <v>1.4870296606561551</v>
      </c>
      <c r="G54" s="27">
        <f t="shared" si="8"/>
        <v>37.960462712592317</v>
      </c>
      <c r="H54" s="1"/>
      <c r="I54" s="127">
        <f t="shared" si="6"/>
        <v>52.090240787923996</v>
      </c>
      <c r="J54" s="25">
        <f>IF(A54&gt;200,"",C54*'Adj-Barrows'!$C$6)</f>
        <v>1283.3052663635854</v>
      </c>
      <c r="K54" s="26">
        <f>IF(A54&gt;200,"",D54*'Adj-Barrows'!$C$7)</f>
        <v>0.34422663216808419</v>
      </c>
      <c r="L54" s="1">
        <f t="shared" si="2"/>
        <v>2.9050628468273336</v>
      </c>
      <c r="M54" s="26">
        <f t="shared" si="3"/>
        <v>3.7280824504507066</v>
      </c>
      <c r="N54" s="30">
        <f t="shared" si="9"/>
        <v>95.16940959157327</v>
      </c>
    </row>
    <row r="55" spans="1:14" x14ac:dyDescent="0.25">
      <c r="A55" s="25">
        <f t="shared" si="11"/>
        <v>73</v>
      </c>
      <c r="B55" s="27">
        <f>IF(A55&gt;200,"",IF($C$1='Adj-Mixed'!$A$21,VLOOKUP(A55,'800'!$A$6:$AB$188,2,FALSE),IF($C$1='Adj-Mixed'!$A$20,VLOOKUP(A55,'800'!$A$6:$AB$188,11,FALSE),IF($C$1='Adj-Mixed'!$A$19,VLOOKUP(A55,'800'!$A$6:$AB$188,20,FALSE)))))</f>
        <v>32.500183025784644</v>
      </c>
      <c r="C55" s="25">
        <f t="shared" si="4"/>
        <v>824.84612597396631</v>
      </c>
      <c r="D55" s="26">
        <f t="shared" si="5"/>
        <v>0.54242777476224746</v>
      </c>
      <c r="E55" s="26">
        <f>IF(A55&gt;200,"",IF($C$1='Adj-Mixed'!$A$21,VLOOKUP(A55,'800'!$A$7:$AB$188,8,FALSE),IF($C$1='Adj-Mixed'!$A$20,VLOOKUP(A55,'800'!$A$7:$AB$188,17,FALSE),IF($C$1='Adj-Mixed'!$A$19,VLOOKUP(A55,'800'!$A$7:$AB$188,26,FALSE)))))</f>
        <v>1.8435634134670036</v>
      </c>
      <c r="F55" s="26">
        <f t="shared" si="12"/>
        <v>1.5206561395855995</v>
      </c>
      <c r="G55" s="27">
        <f t="shared" si="8"/>
        <v>39.481118852177914</v>
      </c>
      <c r="H55" s="1"/>
      <c r="I55" s="127">
        <f t="shared" si="6"/>
        <v>53.386639362601926</v>
      </c>
      <c r="J55" s="25">
        <f>IF(A55&gt;200,"",C55*'Adj-Barrows'!$C$6)</f>
        <v>1296.3985746779335</v>
      </c>
      <c r="K55" s="26">
        <f>IF(A55&gt;200,"",D55*'Adj-Barrows'!$C$7)</f>
        <v>0.34004911400378307</v>
      </c>
      <c r="L55" s="1">
        <f t="shared" si="2"/>
        <v>2.9407516703274661</v>
      </c>
      <c r="M55" s="26">
        <f t="shared" si="3"/>
        <v>3.8123862738942798</v>
      </c>
      <c r="N55" s="30">
        <f t="shared" si="9"/>
        <v>98.981795865467546</v>
      </c>
    </row>
    <row r="56" spans="1:14" x14ac:dyDescent="0.25">
      <c r="A56" s="25">
        <f t="shared" si="11"/>
        <v>74</v>
      </c>
      <c r="B56" s="27">
        <f>IF(A56&gt;200,"",IF($C$1='Adj-Mixed'!$A$21,VLOOKUP(A56,'800'!$A$6:$AB$188,2,FALSE),IF($C$1='Adj-Mixed'!$A$20,VLOOKUP(A56,'800'!$A$6:$AB$188,11,FALSE),IF($C$1='Adj-Mixed'!$A$19,VLOOKUP(A56,'800'!$A$6:$AB$188,20,FALSE)))))</f>
        <v>33.333181689305846</v>
      </c>
      <c r="C56" s="25">
        <f t="shared" si="4"/>
        <v>832.99866352120239</v>
      </c>
      <c r="D56" s="26">
        <f t="shared" si="5"/>
        <v>0.53595734110643256</v>
      </c>
      <c r="E56" s="26">
        <f>IF(A56&gt;200,"",IF($C$1='Adj-Mixed'!$A$21,VLOOKUP(A56,'800'!$A$7:$AB$188,8,FALSE),IF($C$1='Adj-Mixed'!$A$20,VLOOKUP(A56,'800'!$A$7:$AB$188,17,FALSE),IF($C$1='Adj-Mixed'!$A$19,VLOOKUP(A56,'800'!$A$7:$AB$188,26,FALSE)))))</f>
        <v>1.8658201377288646</v>
      </c>
      <c r="F56" s="26">
        <f t="shared" si="12"/>
        <v>1.55422568109909</v>
      </c>
      <c r="G56" s="27">
        <f t="shared" si="8"/>
        <v>41.035344533277005</v>
      </c>
      <c r="H56" s="1"/>
      <c r="I56" s="127">
        <f t="shared" si="6"/>
        <v>54.695851161132694</v>
      </c>
      <c r="J56" s="25">
        <f>IF(A56&gt;200,"",C56*'Adj-Barrows'!$C$6)</f>
        <v>1309.211798530765</v>
      </c>
      <c r="K56" s="26">
        <f>IF(A56&gt;200,"",D56*'Adj-Barrows'!$C$7)</f>
        <v>0.33599278552236539</v>
      </c>
      <c r="L56" s="1">
        <f t="shared" si="2"/>
        <v>2.9762543813115143</v>
      </c>
      <c r="M56" s="26">
        <f t="shared" si="3"/>
        <v>3.8965473514419173</v>
      </c>
      <c r="N56" s="30">
        <f t="shared" si="9"/>
        <v>102.87834321690946</v>
      </c>
    </row>
    <row r="57" spans="1:14" x14ac:dyDescent="0.25">
      <c r="A57" s="25">
        <f t="shared" si="11"/>
        <v>75</v>
      </c>
      <c r="B57" s="27">
        <f>IF(A57&gt;200,"",IF($C$1='Adj-Mixed'!$A$21,VLOOKUP(A57,'800'!$A$6:$AB$188,2,FALSE),IF($C$1='Adj-Mixed'!$A$20,VLOOKUP(A57,'800'!$A$6:$AB$188,11,FALSE),IF($C$1='Adj-Mixed'!$A$19,VLOOKUP(A57,'800'!$A$6:$AB$188,20,FALSE)))))</f>
        <v>34.17415347735254</v>
      </c>
      <c r="C57" s="25">
        <f t="shared" si="4"/>
        <v>840.9717880466942</v>
      </c>
      <c r="D57" s="26">
        <f t="shared" si="5"/>
        <v>0.52967309415250818</v>
      </c>
      <c r="E57" s="26">
        <f>IF(A57&gt;200,"",IF($C$1='Adj-Mixed'!$A$21,VLOOKUP(A57,'800'!$A$7:$AB$188,8,FALSE),IF($C$1='Adj-Mixed'!$A$20,VLOOKUP(A57,'800'!$A$7:$AB$188,17,FALSE),IF($C$1='Adj-Mixed'!$A$19,VLOOKUP(A57,'800'!$A$7:$AB$188,26,FALSE)))))</f>
        <v>1.887956951258829</v>
      </c>
      <c r="F57" s="26">
        <f t="shared" si="12"/>
        <v>1.587718533055323</v>
      </c>
      <c r="G57" s="27">
        <f t="shared" si="8"/>
        <v>42.623063066332328</v>
      </c>
      <c r="H57" s="1"/>
      <c r="I57" s="127">
        <f t="shared" si="6"/>
        <v>56.017594202697879</v>
      </c>
      <c r="J57" s="25">
        <f>IF(A57&gt;200,"",C57*'Adj-Barrows'!$C$6)</f>
        <v>1321.7430415651822</v>
      </c>
      <c r="K57" s="26">
        <f>IF(A57&gt;200,"",D57*'Adj-Barrows'!$C$7)</f>
        <v>0.3320531778763528</v>
      </c>
      <c r="L57" s="1">
        <f t="shared" si="2"/>
        <v>3.0115658172450068</v>
      </c>
      <c r="M57" s="26">
        <f t="shared" si="3"/>
        <v>3.980516163159149</v>
      </c>
      <c r="N57" s="30">
        <f t="shared" si="9"/>
        <v>106.85885938006861</v>
      </c>
    </row>
    <row r="58" spans="1:14" x14ac:dyDescent="0.25">
      <c r="A58" s="25">
        <f t="shared" si="11"/>
        <v>76</v>
      </c>
      <c r="B58" s="27">
        <f>IF(A58&gt;200,"",IF($C$1='Adj-Mixed'!$A$21,VLOOKUP(A58,'800'!$A$6:$AB$188,2,FALSE),IF($C$1='Adj-Mixed'!$A$20,VLOOKUP(A58,'800'!$A$6:$AB$188,11,FALSE),IF($C$1='Adj-Mixed'!$A$19,VLOOKUP(A58,'800'!$A$6:$AB$188,20,FALSE)))))</f>
        <v>35.022917891759548</v>
      </c>
      <c r="C58" s="25">
        <f t="shared" si="4"/>
        <v>848.76441440700751</v>
      </c>
      <c r="D58" s="26">
        <f t="shared" si="5"/>
        <v>0.52356817002040068</v>
      </c>
      <c r="E58" s="26">
        <f>IF(A58&gt;200,"",IF($C$1='Adj-Mixed'!$A$21,VLOOKUP(A58,'800'!$A$7:$AB$188,8,FALSE),IF($C$1='Adj-Mixed'!$A$20,VLOOKUP(A58,'800'!$A$7:$AB$188,17,FALSE),IF($C$1='Adj-Mixed'!$A$19,VLOOKUP(A58,'800'!$A$7:$AB$188,26,FALSE)))))</f>
        <v>1.9099709593901313</v>
      </c>
      <c r="F58" s="26">
        <f t="shared" si="12"/>
        <v>1.6211153828811551</v>
      </c>
      <c r="G58" s="27">
        <f t="shared" si="8"/>
        <v>44.244178449213486</v>
      </c>
      <c r="H58" s="1"/>
      <c r="I58" s="127">
        <f t="shared" si="6"/>
        <v>57.351584800975026</v>
      </c>
      <c r="J58" s="25">
        <f>IF(A58&gt;200,"",C58*'Adj-Barrows'!$C$6)</f>
        <v>1333.9905982771436</v>
      </c>
      <c r="K58" s="26">
        <f>IF(A58&gt;200,"",D58*'Adj-Barrows'!$C$7)</f>
        <v>0.32822598808487613</v>
      </c>
      <c r="L58" s="1">
        <f t="shared" si="2"/>
        <v>3.0466813607136114</v>
      </c>
      <c r="M58" s="26">
        <f t="shared" si="3"/>
        <v>4.0642442911381726</v>
      </c>
      <c r="N58" s="30">
        <f t="shared" si="9"/>
        <v>110.92310367120677</v>
      </c>
    </row>
    <row r="59" spans="1:14" x14ac:dyDescent="0.25">
      <c r="A59" s="25">
        <f t="shared" si="11"/>
        <v>77</v>
      </c>
      <c r="B59" s="27">
        <f>IF(A59&gt;200,"",IF($C$1='Adj-Mixed'!$A$21,VLOOKUP(A59,'800'!$A$6:$AB$188,2,FALSE),IF($C$1='Adj-Mixed'!$A$20,VLOOKUP(A59,'800'!$A$6:$AB$188,11,FALSE),IF($C$1='Adj-Mixed'!$A$19,VLOOKUP(A59,'800'!$A$6:$AB$188,20,FALSE)))))</f>
        <v>35.879293469269236</v>
      </c>
      <c r="C59" s="25">
        <f t="shared" si="4"/>
        <v>856.3755775096879</v>
      </c>
      <c r="D59" s="26">
        <f t="shared" si="5"/>
        <v>0.51763595974682053</v>
      </c>
      <c r="E59" s="26">
        <f>IF(A59&gt;200,"",IF($C$1='Adj-Mixed'!$A$21,VLOOKUP(A59,'800'!$A$7:$AB$188,8,FALSE),IF($C$1='Adj-Mixed'!$A$20,VLOOKUP(A59,'800'!$A$7:$AB$188,17,FALSE),IF($C$1='Adj-Mixed'!$A$19,VLOOKUP(A59,'800'!$A$7:$AB$188,26,FALSE)))))</f>
        <v>1.9318596035891851</v>
      </c>
      <c r="F59" s="26">
        <f t="shared" si="12"/>
        <v>1.6543973836913251</v>
      </c>
      <c r="G59" s="27">
        <f t="shared" si="8"/>
        <v>45.898575832904811</v>
      </c>
      <c r="H59" s="1"/>
      <c r="I59" s="127">
        <f t="shared" si="6"/>
        <v>58.697537752819997</v>
      </c>
      <c r="J59" s="25">
        <f>IF(A59&gt;200,"",C59*'Adj-Barrows'!$C$6)</f>
        <v>1345.9529518449745</v>
      </c>
      <c r="K59" s="26">
        <f>IF(A59&gt;200,"",D59*'Adj-Barrows'!$C$7)</f>
        <v>0.32450707297493497</v>
      </c>
      <c r="L59" s="1">
        <f t="shared" si="2"/>
        <v>3.0815969304842867</v>
      </c>
      <c r="M59" s="26">
        <f t="shared" si="3"/>
        <v>4.1476844849817383</v>
      </c>
      <c r="N59" s="30">
        <f t="shared" si="9"/>
        <v>115.07078815618851</v>
      </c>
    </row>
    <row r="60" spans="1:14" x14ac:dyDescent="0.25">
      <c r="A60" s="25">
        <f t="shared" si="11"/>
        <v>78</v>
      </c>
      <c r="B60" s="27">
        <f>IF(A60&gt;200,"",IF($C$1='Adj-Mixed'!$A$21,VLOOKUP(A60,'800'!$A$6:$AB$188,2,FALSE),IF($C$1='Adj-Mixed'!$A$20,VLOOKUP(A60,'800'!$A$6:$AB$188,11,FALSE),IF($C$1='Adj-Mixed'!$A$19,VLOOKUP(A60,'800'!$A$6:$AB$188,20,FALSE)))))</f>
        <v>36.743097900113128</v>
      </c>
      <c r="C60" s="25">
        <f t="shared" si="4"/>
        <v>863.80443084389208</v>
      </c>
      <c r="D60" s="26">
        <f t="shared" si="5"/>
        <v>0.5118700998100143</v>
      </c>
      <c r="E60" s="26">
        <f>IF(A60&gt;200,"",IF($C$1='Adj-Mixed'!$A$21,VLOOKUP(A60,'800'!$A$7:$AB$188,8,FALSE),IF($C$1='Adj-Mixed'!$A$20,VLOOKUP(A60,'800'!$A$7:$AB$188,17,FALSE),IF($C$1='Adj-Mixed'!$A$19,VLOOKUP(A60,'800'!$A$7:$AB$188,26,FALSE)))))</f>
        <v>1.9536206556529869</v>
      </c>
      <c r="F60" s="26">
        <f t="shared" si="12"/>
        <v>1.6875461785411996</v>
      </c>
      <c r="G60" s="27">
        <f t="shared" si="8"/>
        <v>47.586122011446008</v>
      </c>
      <c r="H60" s="1"/>
      <c r="I60" s="127">
        <f t="shared" si="6"/>
        <v>60.055166524639979</v>
      </c>
      <c r="J60" s="25">
        <f>IF(A60&gt;200,"",C60*'Adj-Barrows'!$C$6)</f>
        <v>1357.6287718199812</v>
      </c>
      <c r="K60" s="26">
        <f>IF(A60&gt;200,"",D60*'Adj-Barrows'!$C$7)</f>
        <v>0.32089244324134464</v>
      </c>
      <c r="L60" s="1">
        <f t="shared" si="2"/>
        <v>3.1163089722492954</v>
      </c>
      <c r="M60" s="26">
        <f t="shared" si="3"/>
        <v>4.2307907226063985</v>
      </c>
      <c r="N60" s="30">
        <f t="shared" si="9"/>
        <v>119.30157887879491</v>
      </c>
    </row>
    <row r="61" spans="1:14" x14ac:dyDescent="0.25">
      <c r="A61" s="25">
        <f t="shared" si="11"/>
        <v>79</v>
      </c>
      <c r="B61" s="27">
        <f>IF(A61&gt;200,"",IF($C$1='Adj-Mixed'!$A$21,VLOOKUP(A61,'800'!$A$6:$AB$188,2,FALSE),IF($C$1='Adj-Mixed'!$A$20,VLOOKUP(A61,'800'!$A$6:$AB$188,11,FALSE),IF($C$1='Adj-Mixed'!$A$19,VLOOKUP(A61,'800'!$A$6:$AB$188,20,FALSE)))))</f>
        <v>37.614148145039131</v>
      </c>
      <c r="C61" s="25">
        <f t="shared" si="4"/>
        <v>871.05024492600342</v>
      </c>
      <c r="D61" s="26">
        <f t="shared" si="5"/>
        <v>0.5062644628783457</v>
      </c>
      <c r="E61" s="26">
        <f>IF(A61&gt;200,"",IF($C$1='Adj-Mixed'!$A$21,VLOOKUP(A61,'800'!$A$7:$AB$188,8,FALSE),IF($C$1='Adj-Mixed'!$A$20,VLOOKUP(A61,'800'!$A$7:$AB$188,17,FALSE),IF($C$1='Adj-Mixed'!$A$19,VLOOKUP(A61,'800'!$A$7:$AB$188,26,FALSE)))))</f>
        <v>1.9752522116890081</v>
      </c>
      <c r="F61" s="26">
        <f t="shared" si="12"/>
        <v>1.7205439227823403</v>
      </c>
      <c r="G61" s="27">
        <f t="shared" si="8"/>
        <v>49.306665934228349</v>
      </c>
      <c r="H61" s="1"/>
      <c r="I61" s="127">
        <f t="shared" si="6"/>
        <v>61.424183436323425</v>
      </c>
      <c r="J61" s="25">
        <f>IF(A61&gt;200,"",C61*'Adj-Barrows'!$C$6)</f>
        <v>1369.0169116834481</v>
      </c>
      <c r="K61" s="26">
        <f>IF(A61&gt;200,"",D61*'Adj-Barrows'!$C$7)</f>
        <v>0.31737825764700206</v>
      </c>
      <c r="L61" s="1">
        <f t="shared" si="2"/>
        <v>3.1508144490232568</v>
      </c>
      <c r="M61" s="26">
        <f t="shared" si="3"/>
        <v>4.313518266289404</v>
      </c>
      <c r="N61" s="30">
        <f t="shared" si="9"/>
        <v>123.61509714508432</v>
      </c>
    </row>
    <row r="62" spans="1:14" x14ac:dyDescent="0.25">
      <c r="A62" s="25">
        <f t="shared" si="11"/>
        <v>80</v>
      </c>
      <c r="B62" s="27">
        <f>IF(A62&gt;200,"",IF($C$1='Adj-Mixed'!$A$21,VLOOKUP(A62,'800'!$A$6:$AB$188,2,FALSE),IF($C$1='Adj-Mixed'!$A$20,VLOOKUP(A62,'800'!$A$6:$AB$188,11,FALSE),IF($C$1='Adj-Mixed'!$A$19,VLOOKUP(A62,'800'!$A$6:$AB$188,20,FALSE)))))</f>
        <v>38.49226055070185</v>
      </c>
      <c r="C62" s="25">
        <f t="shared" si="4"/>
        <v>878.1124056627192</v>
      </c>
      <c r="D62" s="26">
        <f t="shared" si="5"/>
        <v>0.50081314880881034</v>
      </c>
      <c r="E62" s="26">
        <f>IF(A62&gt;200,"",IF($C$1='Adj-Mixed'!$A$21,VLOOKUP(A62,'800'!$A$7:$AB$188,8,FALSE),IF($C$1='Adj-Mixed'!$A$20,VLOOKUP(A62,'800'!$A$7:$AB$188,17,FALSE),IF($C$1='Adj-Mixed'!$A$19,VLOOKUP(A62,'800'!$A$7:$AB$188,26,FALSE)))))</f>
        <v>1.9967526858640019</v>
      </c>
      <c r="F62" s="26">
        <f t="shared" si="12"/>
        <v>1.7533733044975346</v>
      </c>
      <c r="G62" s="27">
        <f t="shared" si="8"/>
        <v>51.060039238725885</v>
      </c>
      <c r="H62" s="1"/>
      <c r="I62" s="127">
        <f t="shared" si="6"/>
        <v>62.804299842597352</v>
      </c>
      <c r="J62" s="25">
        <f>IF(A62&gt;200,"",C62*'Adj-Barrows'!$C$6)</f>
        <v>1380.1164062739263</v>
      </c>
      <c r="K62" s="26">
        <f>IF(A62&gt;200,"",D62*'Adj-Barrows'!$C$7)</f>
        <v>0.31396081737983589</v>
      </c>
      <c r="L62" s="1">
        <f t="shared" si="2"/>
        <v>3.1851108311715874</v>
      </c>
      <c r="M62" s="26">
        <f t="shared" si="3"/>
        <v>4.3958237139006888</v>
      </c>
      <c r="N62" s="30">
        <f t="shared" si="9"/>
        <v>128.010920858985</v>
      </c>
    </row>
    <row r="63" spans="1:14" x14ac:dyDescent="0.25">
      <c r="A63" s="25">
        <f t="shared" si="11"/>
        <v>81</v>
      </c>
      <c r="B63" s="27">
        <f>IF(A63&gt;200,"",IF($C$1='Adj-Mixed'!$A$21,VLOOKUP(A63,'800'!$A$6:$AB$188,2,FALSE),IF($C$1='Adj-Mixed'!$A$20,VLOOKUP(A63,'800'!$A$6:$AB$188,11,FALSE),IF($C$1='Adj-Mixed'!$A$19,VLOOKUP(A63,'800'!$A$6:$AB$188,20,FALSE)))))</f>
        <v>39.377250963336394</v>
      </c>
      <c r="C63" s="25">
        <f t="shared" si="4"/>
        <v>884.99041263454365</v>
      </c>
      <c r="D63" s="26">
        <f t="shared" si="5"/>
        <v>0.49551047591434078</v>
      </c>
      <c r="E63" s="26">
        <f>IF(A63&gt;200,"",IF($C$1='Adj-Mixed'!$A$21,VLOOKUP(A63,'800'!$A$7:$AB$188,8,FALSE),IF($C$1='Adj-Mixed'!$A$20,VLOOKUP(A63,'800'!$A$7:$AB$188,17,FALSE),IF($C$1='Adj-Mixed'!$A$19,VLOOKUP(A63,'800'!$A$7:$AB$188,26,FALSE)))))</f>
        <v>2.0181208039138827</v>
      </c>
      <c r="F63" s="26">
        <f t="shared" si="12"/>
        <v>1.786017563002104</v>
      </c>
      <c r="G63" s="27">
        <f t="shared" si="8"/>
        <v>52.84605680172799</v>
      </c>
      <c r="H63" s="1"/>
      <c r="I63" s="127">
        <f t="shared" si="6"/>
        <v>64.195226311686781</v>
      </c>
      <c r="J63" s="25">
        <f>IF(A63&gt;200,"",C63*'Adj-Barrows'!$C$6)</f>
        <v>1390.9264690894233</v>
      </c>
      <c r="K63" s="26">
        <f>IF(A63&gt;200,"",D63*'Adj-Barrows'!$C$7)</f>
        <v>0.3106365605782615</v>
      </c>
      <c r="L63" s="1">
        <f t="shared" si="2"/>
        <v>3.2191960860578126</v>
      </c>
      <c r="M63" s="26">
        <f t="shared" si="3"/>
        <v>4.4776650452868845</v>
      </c>
      <c r="N63" s="30">
        <f t="shared" si="9"/>
        <v>132.4885859042719</v>
      </c>
    </row>
    <row r="64" spans="1:14" x14ac:dyDescent="0.25">
      <c r="A64" s="25">
        <f t="shared" si="11"/>
        <v>82</v>
      </c>
      <c r="B64" s="27">
        <f>IF(A64&gt;200,"",IF($C$1='Adj-Mixed'!$A$21,VLOOKUP(A64,'800'!$A$6:$AB$188,2,FALSE),IF($C$1='Adj-Mixed'!$A$20,VLOOKUP(A64,'800'!$A$6:$AB$188,11,FALSE),IF($C$1='Adj-Mixed'!$A$19,VLOOKUP(A64,'800'!$A$6:$AB$188,20,FALSE)))))</f>
        <v>40.268934840639332</v>
      </c>
      <c r="C64" s="25">
        <f t="shared" si="4"/>
        <v>891.6838773029383</v>
      </c>
      <c r="D64" s="26">
        <f t="shared" si="5"/>
        <v>0.49035097251312765</v>
      </c>
      <c r="E64" s="26">
        <f>IF(A64&gt;200,"",IF($C$1='Adj-Mixed'!$A$21,VLOOKUP(A64,'800'!$A$7:$AB$188,8,FALSE),IF($C$1='Adj-Mixed'!$A$20,VLOOKUP(A64,'800'!$A$7:$AB$188,17,FALSE),IF($C$1='Adj-Mixed'!$A$19,VLOOKUP(A64,'800'!$A$7:$AB$188,26,FALSE)))))</f>
        <v>2.0393555964105445</v>
      </c>
      <c r="F64" s="26">
        <f t="shared" si="12"/>
        <v>1.8184605054068006</v>
      </c>
      <c r="G64" s="27">
        <f t="shared" si="8"/>
        <v>54.664517307134787</v>
      </c>
      <c r="H64" s="1"/>
      <c r="I64" s="127">
        <f t="shared" si="6"/>
        <v>65.596672801156387</v>
      </c>
      <c r="J64" s="25">
        <f>IF(A64&gt;200,"",C64*'Adj-Barrows'!$C$6)</f>
        <v>1401.4464894696098</v>
      </c>
      <c r="K64" s="26">
        <f>IF(A64&gt;200,"",D64*'Adj-Barrows'!$C$7)</f>
        <v>0.30740205703343282</v>
      </c>
      <c r="L64" s="1">
        <f t="shared" si="2"/>
        <v>3.2530686673031624</v>
      </c>
      <c r="M64" s="26">
        <f t="shared" si="3"/>
        <v>4.5590016637955983</v>
      </c>
      <c r="N64" s="30">
        <f t="shared" si="9"/>
        <v>137.04758756806751</v>
      </c>
    </row>
    <row r="65" spans="1:14" x14ac:dyDescent="0.25">
      <c r="A65" s="25">
        <f t="shared" si="11"/>
        <v>83</v>
      </c>
      <c r="B65" s="27">
        <f>IF(A65&gt;200,"",IF($C$1='Adj-Mixed'!$A$21,VLOOKUP(A65,'800'!$A$6:$AB$188,2,FALSE),IF($C$1='Adj-Mixed'!$A$20,VLOOKUP(A65,'800'!$A$6:$AB$188,11,FALSE),IF($C$1='Adj-Mixed'!$A$19,VLOOKUP(A65,'800'!$A$6:$AB$188,20,FALSE)))))</f>
        <v>41.167127361783855</v>
      </c>
      <c r="C65" s="25">
        <f t="shared" si="4"/>
        <v>898.19252114452297</v>
      </c>
      <c r="D65" s="26">
        <f t="shared" si="5"/>
        <v>0.48532936876839666</v>
      </c>
      <c r="E65" s="26">
        <f>IF(A65&gt;200,"",IF($C$1='Adj-Mixed'!$A$21,VLOOKUP(A65,'800'!$A$7:$AB$188,8,FALSE),IF($C$1='Adj-Mixed'!$A$20,VLOOKUP(A65,'800'!$A$7:$AB$188,17,FALSE),IF($C$1='Adj-Mixed'!$A$19,VLOOKUP(A65,'800'!$A$7:$AB$188,26,FALSE)))))</f>
        <v>2.0604563917853662</v>
      </c>
      <c r="F65" s="26">
        <f t="shared" si="12"/>
        <v>1.850686521246045</v>
      </c>
      <c r="G65" s="27">
        <f t="shared" si="8"/>
        <v>56.515203828380834</v>
      </c>
      <c r="H65" s="1"/>
      <c r="I65" s="127">
        <f t="shared" si="6"/>
        <v>67.008348830819756</v>
      </c>
      <c r="J65" s="25">
        <f>IF(A65&gt;200,"",C65*'Adj-Barrows'!$C$6)</f>
        <v>1411.6760296633684</v>
      </c>
      <c r="K65" s="26">
        <f>IF(A65&gt;200,"",D65*'Adj-Barrows'!$C$7)</f>
        <v>0.30425400307358108</v>
      </c>
      <c r="L65" s="1">
        <f t="shared" si="2"/>
        <v>3.2867275036580508</v>
      </c>
      <c r="M65" s="26">
        <f t="shared" si="3"/>
        <v>4.6397944329493912</v>
      </c>
      <c r="N65" s="30">
        <f t="shared" si="9"/>
        <v>141.68738200101691</v>
      </c>
    </row>
    <row r="66" spans="1:14" x14ac:dyDescent="0.25">
      <c r="A66" s="25">
        <f t="shared" si="11"/>
        <v>84</v>
      </c>
      <c r="B66" s="27">
        <f>IF(A66&gt;200,"",IF($C$1='Adj-Mixed'!$A$21,VLOOKUP(A66,'800'!$A$6:$AB$188,2,FALSE),IF($C$1='Adj-Mixed'!$A$20,VLOOKUP(A66,'800'!$A$6:$AB$188,11,FALSE),IF($C$1='Adj-Mixed'!$A$19,VLOOKUP(A66,'800'!$A$6:$AB$188,20,FALSE)))))</f>
        <v>42.071643535499355</v>
      </c>
      <c r="C66" s="25">
        <f t="shared" si="4"/>
        <v>904.51617371549992</v>
      </c>
      <c r="D66" s="26">
        <f t="shared" si="5"/>
        <v>0.47999892683896483</v>
      </c>
      <c r="E66" s="26">
        <f>IF(A66&gt;200,"",IF($C$1='Adj-Mixed'!$A$21,VLOOKUP(A66,'800'!$A$7:$AB$188,8,FALSE),IF($C$1='Adj-Mixed'!$A$20,VLOOKUP(A66,'800'!$A$7:$AB$188,17,FALSE),IF($C$1='Adj-Mixed'!$A$19,VLOOKUP(A66,'800'!$A$7:$AB$188,26,FALSE)))))</f>
        <v>2.0833379911607399</v>
      </c>
      <c r="F66" s="26">
        <f t="shared" si="12"/>
        <v>1.8844129083208483</v>
      </c>
      <c r="G66" s="27">
        <f t="shared" si="8"/>
        <v>58.399616736701681</v>
      </c>
      <c r="H66" s="1"/>
      <c r="I66" s="127">
        <f t="shared" si="6"/>
        <v>68.429963652606432</v>
      </c>
      <c r="J66" s="25">
        <f>IF(A66&gt;200,"",C66*'Adj-Barrows'!$C$6)</f>
        <v>1421.6148217866785</v>
      </c>
      <c r="K66" s="26">
        <f>IF(A66&gt;200,"",D66*'Adj-Barrows'!$C$7)</f>
        <v>0.30091233780552507</v>
      </c>
      <c r="L66" s="1">
        <f t="shared" si="2"/>
        <v>3.3232269812954107</v>
      </c>
      <c r="M66" s="26">
        <f t="shared" si="3"/>
        <v>4.7243487327709568</v>
      </c>
      <c r="N66" s="30">
        <f t="shared" si="9"/>
        <v>146.41173073378786</v>
      </c>
    </row>
    <row r="67" spans="1:14" x14ac:dyDescent="0.25">
      <c r="A67" s="25">
        <f t="shared" si="11"/>
        <v>85</v>
      </c>
      <c r="B67" s="27">
        <f>IF(A67&gt;200,"",IF($C$1='Adj-Mixed'!$A$21,VLOOKUP(A67,'800'!$A$6:$AB$188,2,FALSE),IF($C$1='Adj-Mixed'!$A$20,VLOOKUP(A67,'800'!$A$6:$AB$188,11,FALSE),IF($C$1='Adj-Mixed'!$A$19,VLOOKUP(A67,'800'!$A$6:$AB$188,20,FALSE)))))</f>
        <v>42.982298306149112</v>
      </c>
      <c r="C67" s="25">
        <f t="shared" si="4"/>
        <v>910.65477064975653</v>
      </c>
      <c r="D67" s="26">
        <f t="shared" si="5"/>
        <v>0.47430993405835559</v>
      </c>
      <c r="E67" s="26">
        <f>IF(A67&gt;200,"",IF($C$1='Adj-Mixed'!$A$21,VLOOKUP(A67,'800'!$A$7:$AB$188,8,FALSE),IF($C$1='Adj-Mixed'!$A$20,VLOOKUP(A67,'800'!$A$7:$AB$188,17,FALSE),IF($C$1='Adj-Mixed'!$A$19,VLOOKUP(A67,'800'!$A$7:$AB$188,26,FALSE)))))</f>
        <v>2.1083260716124226</v>
      </c>
      <c r="F67" s="26">
        <f t="shared" si="12"/>
        <v>1.919957195199113</v>
      </c>
      <c r="G67" s="27">
        <f t="shared" si="8"/>
        <v>60.319573931900791</v>
      </c>
      <c r="H67" s="1"/>
      <c r="I67" s="127">
        <f t="shared" si="6"/>
        <v>69.861226417282694</v>
      </c>
      <c r="J67" s="25">
        <f>IF(A67&gt;200,"",C67*'Adj-Barrows'!$C$6)</f>
        <v>1431.2627646762639</v>
      </c>
      <c r="K67" s="26">
        <f>IF(A67&gt;200,"",D67*'Adj-Barrows'!$C$7)</f>
        <v>0.29734589625398761</v>
      </c>
      <c r="L67" s="1">
        <f t="shared" si="2"/>
        <v>3.3630866024995267</v>
      </c>
      <c r="M67" s="26">
        <f t="shared" si="3"/>
        <v>4.8134606285391763</v>
      </c>
      <c r="N67" s="30">
        <f t="shared" si="9"/>
        <v>151.22519136232705</v>
      </c>
    </row>
    <row r="68" spans="1:14" x14ac:dyDescent="0.25">
      <c r="A68" s="25">
        <f t="shared" si="11"/>
        <v>86</v>
      </c>
      <c r="B68" s="27">
        <f>IF(A68&gt;200,"",IF($C$1='Adj-Mixed'!$A$21,VLOOKUP(A68,'800'!$A$6:$AB$188,2,FALSE),IF($C$1='Adj-Mixed'!$A$20,VLOOKUP(A68,'800'!$A$6:$AB$188,11,FALSE),IF($C$1='Adj-Mixed'!$A$19,VLOOKUP(A68,'800'!$A$6:$AB$188,20,FALSE)))))</f>
        <v>43.898906657744128</v>
      </c>
      <c r="C68" s="25">
        <f t="shared" si="4"/>
        <v>916.6083515950163</v>
      </c>
      <c r="D68" s="26">
        <f t="shared" si="5"/>
        <v>0.46880116761588048</v>
      </c>
      <c r="E68" s="26">
        <f>IF(A68&gt;200,"",IF($C$1='Adj-Mixed'!$A$21,VLOOKUP(A68,'800'!$A$7:$AB$188,8,FALSE),IF($C$1='Adj-Mixed'!$A$20,VLOOKUP(A68,'800'!$A$7:$AB$188,17,FALSE),IF($C$1='Adj-Mixed'!$A$19,VLOOKUP(A68,'800'!$A$7:$AB$188,26,FALSE)))))</f>
        <v>2.1331004892448679</v>
      </c>
      <c r="F68" s="26">
        <f t="shared" si="12"/>
        <v>1.9552177232332613</v>
      </c>
      <c r="G68" s="27">
        <f t="shared" si="8"/>
        <v>62.274791655134052</v>
      </c>
      <c r="H68" s="1"/>
      <c r="I68" s="127">
        <f t="shared" si="6"/>
        <v>71.301846337928566</v>
      </c>
      <c r="J68" s="25">
        <f>IF(A68&gt;200,"",C68*'Adj-Barrows'!$C$6)</f>
        <v>1440.6199206458709</v>
      </c>
      <c r="K68" s="26">
        <f>IF(A68&gt;200,"",D68*'Adj-Barrows'!$C$7)</f>
        <v>0.29389243897326761</v>
      </c>
      <c r="L68" s="1">
        <f t="shared" ref="L68:L131" si="13">IF(A68&gt;200,"",1/K68)</f>
        <v>3.402605400443663</v>
      </c>
      <c r="M68" s="26">
        <f t="shared" ref="M68:M131" si="14">IF(A68&gt;200,"",(J68/1000)/K68)</f>
        <v>4.9018611219763617</v>
      </c>
      <c r="N68" s="30">
        <f t="shared" si="9"/>
        <v>156.12705248430342</v>
      </c>
    </row>
    <row r="69" spans="1:14" x14ac:dyDescent="0.25">
      <c r="A69" s="25">
        <f t="shared" si="11"/>
        <v>87</v>
      </c>
      <c r="B69" s="27">
        <f>IF(A69&gt;200,"",IF($C$1='Adj-Mixed'!$A$21,VLOOKUP(A69,'800'!$A$6:$AB$188,2,FALSE),IF($C$1='Adj-Mixed'!$A$20,VLOOKUP(A69,'800'!$A$6:$AB$188,11,FALSE),IF($C$1='Adj-Mixed'!$A$19,VLOOKUP(A69,'800'!$A$6:$AB$188,20,FALSE)))))</f>
        <v>44.821283715833694</v>
      </c>
      <c r="C69" s="25">
        <f t="shared" ref="C69:C132" si="15">IF(A69&gt;200,"",(B69-B68)*1000)</f>
        <v>922.37705808956605</v>
      </c>
      <c r="D69" s="26">
        <f t="shared" ref="D69:D132" si="16">IF(A69&gt;200,"",1/E69)</f>
        <v>0.46346508646429962</v>
      </c>
      <c r="E69" s="26">
        <f>IF(A69&gt;200,"",IF($C$1='Adj-Mixed'!$A$21,VLOOKUP(A69,'800'!$A$7:$AB$188,8,FALSE),IF($C$1='Adj-Mixed'!$A$20,VLOOKUP(A69,'800'!$A$7:$AB$188,17,FALSE),IF($C$1='Adj-Mixed'!$A$19,VLOOKUP(A69,'800'!$A$7:$AB$188,26,FALSE)))))</f>
        <v>2.1576598307087997</v>
      </c>
      <c r="F69" s="26">
        <f t="shared" si="12"/>
        <v>1.9901759270072139</v>
      </c>
      <c r="G69" s="27">
        <f t="shared" si="8"/>
        <v>64.264967582141267</v>
      </c>
      <c r="H69" s="1"/>
      <c r="I69" s="127">
        <f t="shared" ref="I69:I132" si="17">IF(A69&gt;200,"",I68+(J69/1000))</f>
        <v>72.751532850077723</v>
      </c>
      <c r="J69" s="25">
        <f>IF(A69&gt;200,"",C69*'Adj-Barrows'!$C$6)</f>
        <v>1449.6865121491517</v>
      </c>
      <c r="K69" s="26">
        <f>IF(A69&gt;200,"",D69*'Adj-Barrows'!$C$7)</f>
        <v>0.29054723846497377</v>
      </c>
      <c r="L69" s="1">
        <f t="shared" si="13"/>
        <v>3.4417811206302433</v>
      </c>
      <c r="M69" s="26">
        <f t="shared" si="14"/>
        <v>4.9895036683472558</v>
      </c>
      <c r="N69" s="30">
        <f t="shared" si="9"/>
        <v>161.11655615265067</v>
      </c>
    </row>
    <row r="70" spans="1:14" x14ac:dyDescent="0.25">
      <c r="A70" s="25">
        <f t="shared" si="11"/>
        <v>88</v>
      </c>
      <c r="B70" s="27">
        <f>IF(A70&gt;200,"",IF($C$1='Adj-Mixed'!$A$21,VLOOKUP(A70,'800'!$A$6:$AB$188,2,FALSE),IF($C$1='Adj-Mixed'!$A$20,VLOOKUP(A70,'800'!$A$6:$AB$188,11,FALSE),IF($C$1='Adj-Mixed'!$A$19,VLOOKUP(A70,'800'!$A$6:$AB$188,20,FALSE)))))</f>
        <v>45.749244847218158</v>
      </c>
      <c r="C70" s="25">
        <f t="shared" si="15"/>
        <v>927.96113138446401</v>
      </c>
      <c r="D70" s="26">
        <f t="shared" si="16"/>
        <v>0.45829448135112699</v>
      </c>
      <c r="E70" s="26">
        <f>IF(A70&gt;200,"",IF($C$1='Adj-Mixed'!$A$21,VLOOKUP(A70,'800'!$A$7:$AB$188,8,FALSE),IF($C$1='Adj-Mixed'!$A$20,VLOOKUP(A70,'800'!$A$7:$AB$188,17,FALSE),IF($C$1='Adj-Mixed'!$A$19,VLOOKUP(A70,'800'!$A$7:$AB$188,26,FALSE)))))</f>
        <v>2.182003145776132</v>
      </c>
      <c r="F70" s="26">
        <f t="shared" si="12"/>
        <v>2.0248141078388788</v>
      </c>
      <c r="G70" s="27">
        <f t="shared" ref="G70:G133" si="18">IF(A70&gt;200,"",F70+G69)</f>
        <v>66.289781689980146</v>
      </c>
      <c r="H70" s="1"/>
      <c r="I70" s="127">
        <f t="shared" si="17"/>
        <v>74.209995768434581</v>
      </c>
      <c r="J70" s="25">
        <f>IF(A70&gt;200,"",C70*'Adj-Barrows'!$C$6)</f>
        <v>1458.4629183568609</v>
      </c>
      <c r="K70" s="26">
        <f>IF(A70&gt;200,"",D70*'Adj-Barrows'!$C$7)</f>
        <v>0.28730577523354456</v>
      </c>
      <c r="L70" s="1">
        <f t="shared" si="13"/>
        <v>3.4806122473073224</v>
      </c>
      <c r="M70" s="26">
        <f t="shared" si="14"/>
        <v>5.0763438958764695</v>
      </c>
      <c r="N70" s="30">
        <f t="shared" ref="N70:N133" si="19">IF(A70&gt;200,"",N69+M70)</f>
        <v>166.19290004852715</v>
      </c>
    </row>
    <row r="71" spans="1:14" x14ac:dyDescent="0.25">
      <c r="A71" s="25">
        <f t="shared" si="11"/>
        <v>89</v>
      </c>
      <c r="B71" s="27">
        <f>IF(A71&gt;200,"",IF($C$1='Adj-Mixed'!$A$21,VLOOKUP(A71,'800'!$A$6:$AB$188,2,FALSE),IF($C$1='Adj-Mixed'!$A$20,VLOOKUP(A71,'800'!$A$6:$AB$188,11,FALSE),IF($C$1='Adj-Mixed'!$A$19,VLOOKUP(A71,'800'!$A$6:$AB$188,20,FALSE)))))</f>
        <v>46.68260575743237</v>
      </c>
      <c r="C71" s="25">
        <f t="shared" si="15"/>
        <v>933.36091021421203</v>
      </c>
      <c r="D71" s="26">
        <f t="shared" si="16"/>
        <v>0.45328245807468087</v>
      </c>
      <c r="E71" s="26">
        <f>IF(A71&gt;200,"",IF($C$1='Adj-Mixed'!$A$21,VLOOKUP(A71,'800'!$A$7:$AB$188,8,FALSE),IF($C$1='Adj-Mixed'!$A$20,VLOOKUP(A71,'800'!$A$7:$AB$188,17,FALSE),IF($C$1='Adj-Mixed'!$A$19,VLOOKUP(A71,'800'!$A$7:$AB$188,26,FALSE)))))</f>
        <v>2.2061299355097574</v>
      </c>
      <c r="F71" s="26">
        <f t="shared" si="12"/>
        <v>2.0591154446582083</v>
      </c>
      <c r="G71" s="27">
        <f t="shared" si="18"/>
        <v>68.348897134638349</v>
      </c>
      <c r="H71" s="1"/>
      <c r="I71" s="127">
        <f t="shared" si="17"/>
        <v>75.676945440087636</v>
      </c>
      <c r="J71" s="25">
        <f>IF(A71&gt;200,"",C71*'Adj-Barrows'!$C$6)</f>
        <v>1466.9496716530537</v>
      </c>
      <c r="K71" s="26">
        <f>IF(A71&gt;200,"",D71*'Adj-Barrows'!$C$7)</f>
        <v>0.28416372728943096</v>
      </c>
      <c r="L71" s="1">
        <f t="shared" si="13"/>
        <v>3.5190979845976758</v>
      </c>
      <c r="M71" s="26">
        <f t="shared" si="14"/>
        <v>5.1623396330204834</v>
      </c>
      <c r="N71" s="30">
        <f t="shared" si="19"/>
        <v>171.35523968154763</v>
      </c>
    </row>
    <row r="72" spans="1:14" x14ac:dyDescent="0.25">
      <c r="A72" s="25">
        <f t="shared" si="11"/>
        <v>90</v>
      </c>
      <c r="B72" s="27">
        <f>IF(A72&gt;200,"",IF($C$1='Adj-Mixed'!$A$21,VLOOKUP(A72,'800'!$A$6:$AB$188,2,FALSE),IF($C$1='Adj-Mixed'!$A$20,VLOOKUP(A72,'800'!$A$6:$AB$188,11,FALSE),IF($C$1='Adj-Mixed'!$A$19,VLOOKUP(A72,'800'!$A$6:$AB$188,20,FALSE)))))</f>
        <v>47.621182585952511</v>
      </c>
      <c r="C72" s="25">
        <f t="shared" si="15"/>
        <v>938.57682852014079</v>
      </c>
      <c r="D72" s="26">
        <f t="shared" si="16"/>
        <v>0.4484224216954884</v>
      </c>
      <c r="E72" s="26">
        <f>IF(A72&gt;200,"",IF($C$1='Adj-Mixed'!$A$21,VLOOKUP(A72,'800'!$A$7:$AB$188,8,FALSE),IF($C$1='Adj-Mixed'!$A$20,VLOOKUP(A72,'800'!$A$7:$AB$188,17,FALSE),IF($C$1='Adj-Mixed'!$A$19,VLOOKUP(A72,'800'!$A$7:$AB$188,26,FALSE)))))</f>
        <v>2.2300401398730081</v>
      </c>
      <c r="F72" s="26">
        <f t="shared" si="12"/>
        <v>2.0930640019546192</v>
      </c>
      <c r="G72" s="27">
        <f t="shared" si="18"/>
        <v>70.441961136592965</v>
      </c>
      <c r="H72" s="1"/>
      <c r="I72" s="127">
        <f t="shared" si="17"/>
        <v>77.152092894144602</v>
      </c>
      <c r="J72" s="25">
        <f>IF(A72&gt;200,"",C72*'Adj-Barrows'!$C$6)</f>
        <v>1475.1474540569634</v>
      </c>
      <c r="K72" s="26">
        <f>IF(A72&gt;200,"",D72*'Adj-Barrows'!$C$7)</f>
        <v>0.2811169602511927</v>
      </c>
      <c r="L72" s="1">
        <f t="shared" si="13"/>
        <v>3.55723823673409</v>
      </c>
      <c r="M72" s="26">
        <f t="shared" si="14"/>
        <v>5.2474509283923743</v>
      </c>
      <c r="N72" s="30">
        <f t="shared" si="19"/>
        <v>176.60269060994</v>
      </c>
    </row>
    <row r="73" spans="1:14" x14ac:dyDescent="0.25">
      <c r="A73" s="25">
        <f t="shared" si="11"/>
        <v>91</v>
      </c>
      <c r="B73" s="27">
        <f>IF(A73&gt;200,"",IF($C$1='Adj-Mixed'!$A$21,VLOOKUP(A73,'800'!$A$6:$AB$188,2,FALSE),IF($C$1='Adj-Mixed'!$A$20,VLOOKUP(A73,'800'!$A$6:$AB$188,11,FALSE),IF($C$1='Adj-Mixed'!$A$19,VLOOKUP(A73,'800'!$A$6:$AB$188,20,FALSE)))))</f>
        <v>48.564791999082935</v>
      </c>
      <c r="C73" s="25">
        <f t="shared" si="15"/>
        <v>943.6094131304244</v>
      </c>
      <c r="D73" s="26">
        <f t="shared" si="16"/>
        <v>0.44370806164901966</v>
      </c>
      <c r="E73" s="26">
        <f>IF(A73&gt;200,"",IF($C$1='Adj-Mixed'!$A$21,VLOOKUP(A73,'800'!$A$7:$AB$188,8,FALSE),IF($C$1='Adj-Mixed'!$A$20,VLOOKUP(A73,'800'!$A$7:$AB$188,17,FALSE),IF($C$1='Adj-Mixed'!$A$19,VLOOKUP(A73,'800'!$A$7:$AB$188,26,FALSE)))))</f>
        <v>2.2537341248287177</v>
      </c>
      <c r="F73" s="26">
        <f t="shared" si="12"/>
        <v>2.1266447348816366</v>
      </c>
      <c r="G73" s="27">
        <f t="shared" si="18"/>
        <v>72.568605871474603</v>
      </c>
      <c r="H73" s="1"/>
      <c r="I73" s="127">
        <f t="shared" si="17"/>
        <v>78.63514998772132</v>
      </c>
      <c r="J73" s="25">
        <f>IF(A73&gt;200,"",C73*'Adj-Barrows'!$C$6)</f>
        <v>1483.0570935767153</v>
      </c>
      <c r="K73" s="26">
        <f>IF(A73&gt;200,"",D73*'Adj-Barrows'!$C$7)</f>
        <v>0.27816151801263994</v>
      </c>
      <c r="L73" s="1">
        <f t="shared" si="13"/>
        <v>3.5950335874804904</v>
      </c>
      <c r="M73" s="26">
        <f t="shared" si="14"/>
        <v>5.3316400635594885</v>
      </c>
      <c r="N73" s="30">
        <f t="shared" si="19"/>
        <v>181.93433067349949</v>
      </c>
    </row>
    <row r="74" spans="1:14" x14ac:dyDescent="0.25">
      <c r="A74" s="25">
        <f t="shared" si="11"/>
        <v>92</v>
      </c>
      <c r="B74" s="27">
        <f>IF(A74&gt;200,"",IF($C$1='Adj-Mixed'!$A$21,VLOOKUP(A74,'800'!$A$6:$AB$188,2,FALSE),IF($C$1='Adj-Mixed'!$A$20,VLOOKUP(A74,'800'!$A$6:$AB$188,11,FALSE),IF($C$1='Adj-Mixed'!$A$19,VLOOKUP(A74,'800'!$A$6:$AB$188,20,FALSE)))))</f>
        <v>49.513251280483288</v>
      </c>
      <c r="C74" s="25">
        <f t="shared" si="15"/>
        <v>948.45928140035335</v>
      </c>
      <c r="D74" s="26">
        <f t="shared" si="16"/>
        <v>0.43913333770808111</v>
      </c>
      <c r="E74" s="26">
        <f>IF(A74&gt;200,"",IF($C$1='Adj-Mixed'!$A$21,VLOOKUP(A74,'800'!$A$7:$AB$188,8,FALSE),IF($C$1='Adj-Mixed'!$A$20,VLOOKUP(A74,'800'!$A$7:$AB$188,17,FALSE),IF($C$1='Adj-Mixed'!$A$19,VLOOKUP(A74,'800'!$A$7:$AB$188,26,FALSE)))))</f>
        <v>2.2772126689792827</v>
      </c>
      <c r="F74" s="26">
        <f t="shared" si="12"/>
        <v>2.1598434916158711</v>
      </c>
      <c r="G74" s="27">
        <f t="shared" si="18"/>
        <v>74.728449363090476</v>
      </c>
      <c r="H74" s="1"/>
      <c r="I74" s="127">
        <f t="shared" si="17"/>
        <v>80.125829548221901</v>
      </c>
      <c r="J74" s="25">
        <f>IF(A74&gt;200,"",C74*'Adj-Barrows'!$C$6)</f>
        <v>1490.6795605005764</v>
      </c>
      <c r="K74" s="26">
        <f>IF(A74&gt;200,"",D74*'Adj-Barrows'!$C$7)</f>
        <v>0.27529361394262819</v>
      </c>
      <c r="L74" s="1">
        <f t="shared" si="13"/>
        <v>3.6324852788208966</v>
      </c>
      <c r="M74" s="26">
        <f t="shared" si="14"/>
        <v>5.4148715589575476</v>
      </c>
      <c r="N74" s="30">
        <f t="shared" si="19"/>
        <v>187.34920223245703</v>
      </c>
    </row>
    <row r="75" spans="1:14" x14ac:dyDescent="0.25">
      <c r="A75" s="25">
        <f t="shared" si="11"/>
        <v>93</v>
      </c>
      <c r="B75" s="27">
        <f>IF(A75&gt;200,"",IF($C$1='Adj-Mixed'!$A$21,VLOOKUP(A75,'800'!$A$6:$AB$188,2,FALSE),IF($C$1='Adj-Mixed'!$A$20,VLOOKUP(A75,'800'!$A$6:$AB$188,11,FALSE),IF($C$1='Adj-Mixed'!$A$19,VLOOKUP(A75,'800'!$A$6:$AB$188,20,FALSE)))))</f>
        <v>50.466378419300071</v>
      </c>
      <c r="C75" s="25">
        <f t="shared" si="15"/>
        <v>953.12713881678235</v>
      </c>
      <c r="D75" s="26">
        <f t="shared" si="16"/>
        <v>0.43469246674580669</v>
      </c>
      <c r="E75" s="26">
        <f>IF(A75&gt;200,"",IF($C$1='Adj-Mixed'!$A$21,VLOOKUP(A75,'800'!$A$7:$AB$188,8,FALSE),IF($C$1='Adj-Mixed'!$A$20,VLOOKUP(A75,'800'!$A$7:$AB$188,17,FALSE),IF($C$1='Adj-Mixed'!$A$19,VLOOKUP(A75,'800'!$A$7:$AB$188,26,FALSE)))))</f>
        <v>2.3004769497990076</v>
      </c>
      <c r="F75" s="26">
        <f t="shared" si="12"/>
        <v>2.1926470130758866</v>
      </c>
      <c r="G75" s="27">
        <f t="shared" si="18"/>
        <v>76.921096376166361</v>
      </c>
      <c r="H75" s="1"/>
      <c r="I75" s="127">
        <f t="shared" si="17"/>
        <v>81.623845511853801</v>
      </c>
      <c r="J75" s="25">
        <f>IF(A75&gt;200,"",C75*'Adj-Barrows'!$C$6)</f>
        <v>1498.0159636319036</v>
      </c>
      <c r="K75" s="26">
        <f>IF(A75&gt;200,"",D75*'Adj-Barrows'!$C$7)</f>
        <v>0.27250962258674966</v>
      </c>
      <c r="L75" s="1">
        <f t="shared" si="13"/>
        <v>3.6695951889980103</v>
      </c>
      <c r="M75" s="26">
        <f t="shared" si="14"/>
        <v>5.497112173185851</v>
      </c>
      <c r="N75" s="30">
        <f t="shared" si="19"/>
        <v>192.84631440564289</v>
      </c>
    </row>
    <row r="76" spans="1:14" x14ac:dyDescent="0.25">
      <c r="A76" s="25">
        <f t="shared" si="11"/>
        <v>94</v>
      </c>
      <c r="B76" s="27">
        <f>IF(A76&gt;200,"",IF($C$1='Adj-Mixed'!$A$21,VLOOKUP(A76,'800'!$A$6:$AB$188,2,FALSE),IF($C$1='Adj-Mixed'!$A$20,VLOOKUP(A76,'800'!$A$6:$AB$188,11,FALSE),IF($C$1='Adj-Mixed'!$A$19,VLOOKUP(A76,'800'!$A$6:$AB$188,20,FALSE)))))</f>
        <v>51.423992195871001</v>
      </c>
      <c r="C76" s="25">
        <f t="shared" si="15"/>
        <v>957.61377657093044</v>
      </c>
      <c r="D76" s="26">
        <f t="shared" si="16"/>
        <v>0.43037991025277161</v>
      </c>
      <c r="E76" s="26">
        <f>IF(A76&gt;200,"",IF($C$1='Adj-Mixed'!$A$21,VLOOKUP(A76,'800'!$A$7:$AB$188,8,FALSE),IF($C$1='Adj-Mixed'!$A$20,VLOOKUP(A76,'800'!$A$7:$AB$188,17,FALSE),IF($C$1='Adj-Mixed'!$A$19,VLOOKUP(A76,'800'!$A$7:$AB$188,26,FALSE)))))</f>
        <v>2.3235285295093768</v>
      </c>
      <c r="F76" s="26">
        <f t="shared" si="12"/>
        <v>2.2250429301137751</v>
      </c>
      <c r="G76" s="27">
        <f t="shared" si="18"/>
        <v>79.146139306280133</v>
      </c>
      <c r="H76" s="1"/>
      <c r="I76" s="127">
        <f t="shared" si="17"/>
        <v>83.128913058328152</v>
      </c>
      <c r="J76" s="25">
        <f>IF(A76&gt;200,"",C76*'Adj-Barrows'!$C$6)</f>
        <v>1505.0675464743467</v>
      </c>
      <c r="K76" s="26">
        <f>IF(A76&gt;200,"",D76*'Adj-Barrows'!$C$7)</f>
        <v>0.26980607184178529</v>
      </c>
      <c r="L76" s="1">
        <f t="shared" si="13"/>
        <v>3.7063658099822216</v>
      </c>
      <c r="M76" s="26">
        <f t="shared" si="14"/>
        <v>5.5783308959663476</v>
      </c>
      <c r="N76" s="30">
        <f t="shared" si="19"/>
        <v>198.42464530160925</v>
      </c>
    </row>
    <row r="77" spans="1:14" x14ac:dyDescent="0.25">
      <c r="A77" s="25">
        <f t="shared" si="11"/>
        <v>95</v>
      </c>
      <c r="B77" s="27">
        <f>IF(A77&gt;200,"",IF($C$1='Adj-Mixed'!$A$21,VLOOKUP(A77,'800'!$A$6:$AB$188,2,FALSE),IF($C$1='Adj-Mixed'!$A$20,VLOOKUP(A77,'800'!$A$6:$AB$188,11,FALSE),IF($C$1='Adj-Mixed'!$A$19,VLOOKUP(A77,'800'!$A$6:$AB$188,20,FALSE)))))</f>
        <v>52.385912264974046</v>
      </c>
      <c r="C77" s="25">
        <f t="shared" si="15"/>
        <v>961.92006910304428</v>
      </c>
      <c r="D77" s="26">
        <f t="shared" si="16"/>
        <v>0.42619036256383197</v>
      </c>
      <c r="E77" s="26">
        <f>IF(A77&gt;200,"",IF($C$1='Adj-Mixed'!$A$21,VLOOKUP(A77,'800'!$A$7:$AB$188,8,FALSE),IF($C$1='Adj-Mixed'!$A$20,VLOOKUP(A77,'800'!$A$7:$AB$188,17,FALSE),IF($C$1='Adj-Mixed'!$A$19,VLOOKUP(A77,'800'!$A$7:$AB$188,26,FALSE)))))</f>
        <v>2.3463693406493364</v>
      </c>
      <c r="F77" s="26">
        <f t="shared" si="12"/>
        <v>2.2570197582986742</v>
      </c>
      <c r="G77" s="27">
        <f t="shared" si="18"/>
        <v>81.403159064578801</v>
      </c>
      <c r="H77" s="1"/>
      <c r="I77" s="127">
        <f t="shared" si="17"/>
        <v>84.640748741700989</v>
      </c>
      <c r="J77" s="25">
        <f>IF(A77&gt;200,"",C77*'Adj-Barrows'!$C$6)</f>
        <v>1511.835683372834</v>
      </c>
      <c r="K77" s="26">
        <f>IF(A77&gt;200,"",D77*'Adj-Barrows'!$C$7)</f>
        <v>0.26717963557508606</v>
      </c>
      <c r="L77" s="1">
        <f t="shared" si="13"/>
        <v>3.7428002244541121</v>
      </c>
      <c r="M77" s="26">
        <f t="shared" si="14"/>
        <v>5.6584989350655786</v>
      </c>
      <c r="N77" s="30">
        <f t="shared" si="19"/>
        <v>204.08314423667483</v>
      </c>
    </row>
    <row r="78" spans="1:14" x14ac:dyDescent="0.25">
      <c r="A78" s="25">
        <f t="shared" si="11"/>
        <v>96</v>
      </c>
      <c r="B78" s="27">
        <f>IF(A78&gt;200,"",IF($C$1='Adj-Mixed'!$A$21,VLOOKUP(A78,'800'!$A$6:$AB$188,2,FALSE),IF($C$1='Adj-Mixed'!$A$20,VLOOKUP(A78,'800'!$A$6:$AB$188,11,FALSE),IF($C$1='Adj-Mixed'!$A$19,VLOOKUP(A78,'800'!$A$6:$AB$188,20,FALSE)))))</f>
        <v>53.351959236596691</v>
      </c>
      <c r="C78" s="25">
        <f t="shared" si="15"/>
        <v>966.04697162264586</v>
      </c>
      <c r="D78" s="26">
        <f t="shared" si="16"/>
        <v>0.42211873975276015</v>
      </c>
      <c r="E78" s="26">
        <f>IF(A78&gt;200,"",IF($C$1='Adj-Mixed'!$A$21,VLOOKUP(A78,'800'!$A$7:$AB$188,8,FALSE),IF($C$1='Adj-Mixed'!$A$20,VLOOKUP(A78,'800'!$A$7:$AB$188,17,FALSE),IF($C$1='Adj-Mixed'!$A$19,VLOOKUP(A78,'800'!$A$7:$AB$188,26,FALSE)))))</f>
        <v>2.3690016713915889</v>
      </c>
      <c r="F78" s="26">
        <f t="shared" si="12"/>
        <v>2.2885668904168308</v>
      </c>
      <c r="G78" s="27">
        <f t="shared" si="18"/>
        <v>83.691725954995633</v>
      </c>
      <c r="H78" s="1"/>
      <c r="I78" s="127">
        <f t="shared" si="17"/>
        <v>86.15907061731717</v>
      </c>
      <c r="J78" s="25">
        <f>IF(A78&gt;200,"",C78*'Adj-Barrows'!$C$6)</f>
        <v>1518.3218756161798</v>
      </c>
      <c r="K78" s="26">
        <f>IF(A78&gt;200,"",D78*'Adj-Barrows'!$C$7)</f>
        <v>0.26462712666259641</v>
      </c>
      <c r="L78" s="1">
        <f t="shared" si="13"/>
        <v>3.778902082381808</v>
      </c>
      <c r="M78" s="26">
        <f t="shared" si="14"/>
        <v>5.7375896974918339</v>
      </c>
      <c r="N78" s="30">
        <f t="shared" si="19"/>
        <v>209.82073393416667</v>
      </c>
    </row>
    <row r="79" spans="1:14" x14ac:dyDescent="0.25">
      <c r="A79" s="25">
        <f t="shared" si="11"/>
        <v>97</v>
      </c>
      <c r="B79" s="27">
        <f>IF(A79&gt;200,"",IF($C$1='Adj-Mixed'!$A$21,VLOOKUP(A79,'800'!$A$6:$AB$188,2,FALSE),IF($C$1='Adj-Mixed'!$A$20,VLOOKUP(A79,'800'!$A$6:$AB$188,11,FALSE),IF($C$1='Adj-Mixed'!$A$19,VLOOKUP(A79,'800'!$A$6:$AB$188,20,FALSE)))))</f>
        <v>54.32195475420518</v>
      </c>
      <c r="C79" s="25">
        <f t="shared" si="15"/>
        <v>969.9955176084884</v>
      </c>
      <c r="D79" s="26">
        <f t="shared" si="16"/>
        <v>0.41816016915519844</v>
      </c>
      <c r="E79" s="26">
        <f>IF(A79&gt;200,"",IF($C$1='Adj-Mixed'!$A$21,VLOOKUP(A79,'800'!$A$7:$AB$188,8,FALSE),IF($C$1='Adj-Mixed'!$A$20,VLOOKUP(A79,'800'!$A$7:$AB$188,17,FALSE),IF($C$1='Adj-Mixed'!$A$19,VLOOKUP(A79,'800'!$A$7:$AB$188,26,FALSE)))))</f>
        <v>2.3914281506540478</v>
      </c>
      <c r="F79" s="26">
        <f t="shared" si="12"/>
        <v>2.3196745868171833</v>
      </c>
      <c r="G79" s="27">
        <f t="shared" si="18"/>
        <v>86.011400541812819</v>
      </c>
      <c r="H79" s="1"/>
      <c r="I79" s="127">
        <f t="shared" si="17"/>
        <v>87.683598364824974</v>
      </c>
      <c r="J79" s="25">
        <f>IF(A79&gt;200,"",C79*'Adj-Barrows'!$C$6)</f>
        <v>1524.5277475078035</v>
      </c>
      <c r="K79" s="26">
        <f>IF(A79&gt;200,"",D79*'Adj-Barrows'!$C$7)</f>
        <v>0.26214549042077179</v>
      </c>
      <c r="L79" s="1">
        <f t="shared" si="13"/>
        <v>3.8146755772715837</v>
      </c>
      <c r="M79" s="26">
        <f t="shared" si="14"/>
        <v>5.8155787652908773</v>
      </c>
      <c r="N79" s="30">
        <f t="shared" si="19"/>
        <v>215.63631269945753</v>
      </c>
    </row>
    <row r="80" spans="1:14" x14ac:dyDescent="0.25">
      <c r="A80" s="25">
        <f t="shared" si="11"/>
        <v>98</v>
      </c>
      <c r="B80" s="27">
        <f>IF(A80&gt;200,"",IF($C$1='Adj-Mixed'!$A$21,VLOOKUP(A80,'800'!$A$6:$AB$188,2,FALSE),IF($C$1='Adj-Mixed'!$A$20,VLOOKUP(A80,'800'!$A$6:$AB$188,11,FALSE),IF($C$1='Adj-Mixed'!$A$19,VLOOKUP(A80,'800'!$A$6:$AB$188,20,FALSE)))))</f>
        <v>55.295721570497022</v>
      </c>
      <c r="C80" s="25">
        <f t="shared" si="15"/>
        <v>973.76681629184247</v>
      </c>
      <c r="D80" s="26">
        <f t="shared" si="16"/>
        <v>0.4143099794824085</v>
      </c>
      <c r="E80" s="26">
        <f>IF(A80&gt;200,"",IF($C$1='Adj-Mixed'!$A$21,VLOOKUP(A80,'800'!$A$7:$AB$188,8,FALSE),IF($C$1='Adj-Mixed'!$A$20,VLOOKUP(A80,'800'!$A$7:$AB$188,17,FALSE),IF($C$1='Adj-Mixed'!$A$19,VLOOKUP(A80,'800'!$A$7:$AB$188,26,FALSE)))))</f>
        <v>2.4136517330557319</v>
      </c>
      <c r="F80" s="26">
        <f t="shared" si="12"/>
        <v>2.3503339637349683</v>
      </c>
      <c r="G80" s="27">
        <f t="shared" si="18"/>
        <v>88.361734505547787</v>
      </c>
      <c r="H80" s="1"/>
      <c r="I80" s="127">
        <f t="shared" si="17"/>
        <v>89.214053407235227</v>
      </c>
      <c r="J80" s="25">
        <f>IF(A80&gt;200,"",C80*'Adj-Barrows'!$C$6)</f>
        <v>1530.4550424102461</v>
      </c>
      <c r="K80" s="26">
        <f>IF(A80&gt;200,"",D80*'Adj-Barrows'!$C$7)</f>
        <v>0.25973179840886734</v>
      </c>
      <c r="L80" s="1">
        <f t="shared" si="13"/>
        <v>3.8501254221703323</v>
      </c>
      <c r="M80" s="26">
        <f t="shared" si="14"/>
        <v>5.8924438662724627</v>
      </c>
      <c r="N80" s="30">
        <f t="shared" si="19"/>
        <v>221.52875656572999</v>
      </c>
    </row>
    <row r="81" spans="1:14" x14ac:dyDescent="0.25">
      <c r="A81" s="25">
        <f t="shared" si="11"/>
        <v>99</v>
      </c>
      <c r="B81" s="27">
        <f>IF(A81&gt;200,"",IF($C$1='Adj-Mixed'!$A$21,VLOOKUP(A81,'800'!$A$6:$AB$188,2,FALSE),IF($C$1='Adj-Mixed'!$A$20,VLOOKUP(A81,'800'!$A$6:$AB$188,11,FALSE),IF($C$1='Adj-Mixed'!$A$19,VLOOKUP(A81,'800'!$A$6:$AB$188,20,FALSE)))))</f>
        <v>56.273083620623197</v>
      </c>
      <c r="C81" s="25">
        <f t="shared" si="15"/>
        <v>977.36205012617461</v>
      </c>
      <c r="D81" s="26">
        <f t="shared" si="16"/>
        <v>0.4105636914901879</v>
      </c>
      <c r="E81" s="26">
        <f>IF(A81&gt;200,"",IF($C$1='Adj-Mixed'!$A$21,VLOOKUP(A81,'800'!$A$7:$AB$188,8,FALSE),IF($C$1='Adj-Mixed'!$A$20,VLOOKUP(A81,'800'!$A$7:$AB$188,17,FALSE),IF($C$1='Adj-Mixed'!$A$19,VLOOKUP(A81,'800'!$A$7:$AB$188,26,FALSE)))))</f>
        <v>2.4356756837663496</v>
      </c>
      <c r="F81" s="26">
        <f t="shared" si="12"/>
        <v>2.3805369797283515</v>
      </c>
      <c r="G81" s="27">
        <f t="shared" si="18"/>
        <v>90.742271485276135</v>
      </c>
      <c r="H81" s="1"/>
      <c r="I81" s="127">
        <f t="shared" si="17"/>
        <v>90.75015902600353</v>
      </c>
      <c r="J81" s="25">
        <f>IF(A81&gt;200,"",C81*'Adj-Barrows'!$C$6)</f>
        <v>1536.1056187683014</v>
      </c>
      <c r="K81" s="26">
        <f>IF(A81&gt;200,"",D81*'Adj-Barrows'!$C$7)</f>
        <v>0.25738324257926221</v>
      </c>
      <c r="L81" s="1">
        <f t="shared" si="13"/>
        <v>3.885256825498443</v>
      </c>
      <c r="M81" s="26">
        <f t="shared" si="14"/>
        <v>5.9681648400060521</v>
      </c>
      <c r="N81" s="30">
        <f t="shared" si="19"/>
        <v>227.49692140573603</v>
      </c>
    </row>
    <row r="82" spans="1:14" x14ac:dyDescent="0.25">
      <c r="A82" s="25">
        <f t="shared" si="11"/>
        <v>100</v>
      </c>
      <c r="B82" s="27">
        <f>IF(A82&gt;200,"",IF($C$1='Adj-Mixed'!$A$21,VLOOKUP(A82,'800'!$A$6:$AB$188,2,FALSE),IF($C$1='Adj-Mixed'!$A$20,VLOOKUP(A82,'800'!$A$6:$AB$188,11,FALSE),IF($C$1='Adj-Mixed'!$A$19,VLOOKUP(A82,'800'!$A$6:$AB$188,20,FALSE)))))</f>
        <v>57.253866092870972</v>
      </c>
      <c r="C82" s="25">
        <f t="shared" si="15"/>
        <v>980.78247224777465</v>
      </c>
      <c r="D82" s="26">
        <f t="shared" si="16"/>
        <v>0.40691700916998308</v>
      </c>
      <c r="E82" s="26">
        <f>IF(A82&gt;200,"",IF($C$1='Adj-Mixed'!$A$21,VLOOKUP(A82,'800'!$A$7:$AB$188,8,FALSE),IF($C$1='Adj-Mixed'!$A$20,VLOOKUP(A82,'800'!$A$7:$AB$188,17,FALSE),IF($C$1='Adj-Mixed'!$A$19,VLOOKUP(A82,'800'!$A$7:$AB$188,26,FALSE)))))</f>
        <v>2.4575035632935807</v>
      </c>
      <c r="F82" s="26">
        <f t="shared" si="12"/>
        <v>2.4102764203647933</v>
      </c>
      <c r="G82" s="27">
        <f t="shared" si="18"/>
        <v>93.15254790564093</v>
      </c>
      <c r="H82" s="1"/>
      <c r="I82" s="127">
        <f t="shared" si="17"/>
        <v>92.291640472121458</v>
      </c>
      <c r="J82" s="25">
        <f>IF(A82&gt;200,"",C82*'Adj-Barrows'!$C$6)</f>
        <v>1541.4814461179217</v>
      </c>
      <c r="K82" s="26">
        <f>IF(A82&gt;200,"",D82*'Adj-Barrows'!$C$7)</f>
        <v>0.25509712975514942</v>
      </c>
      <c r="L82" s="1">
        <f t="shared" si="13"/>
        <v>3.92007546678331</v>
      </c>
      <c r="M82" s="26">
        <f t="shared" si="14"/>
        <v>6.0427235994285233</v>
      </c>
      <c r="N82" s="30">
        <f t="shared" si="19"/>
        <v>233.53964500516454</v>
      </c>
    </row>
    <row r="83" spans="1:14" x14ac:dyDescent="0.25">
      <c r="A83" s="25">
        <f t="shared" si="11"/>
        <v>101</v>
      </c>
      <c r="B83" s="27">
        <f>IF(A83&gt;200,"",IF($C$1='Adj-Mixed'!$A$21,VLOOKUP(A83,'800'!$A$6:$AB$188,2,FALSE),IF($C$1='Adj-Mixed'!$A$20,VLOOKUP(A83,'800'!$A$6:$AB$188,11,FALSE),IF($C$1='Adj-Mixed'!$A$19,VLOOKUP(A83,'800'!$A$6:$AB$188,20,FALSE)))))</f>
        <v>58.237895496801144</v>
      </c>
      <c r="C83" s="25">
        <f t="shared" si="15"/>
        <v>984.02940393017252</v>
      </c>
      <c r="D83" s="26">
        <f t="shared" si="16"/>
        <v>0.40336581143041966</v>
      </c>
      <c r="E83" s="26">
        <f>IF(A83&gt;200,"",IF($C$1='Adj-Mixed'!$A$21,VLOOKUP(A83,'800'!$A$7:$AB$188,8,FALSE),IF($C$1='Adj-Mixed'!$A$20,VLOOKUP(A83,'800'!$A$7:$AB$188,17,FALSE),IF($C$1='Adj-Mixed'!$A$19,VLOOKUP(A83,'800'!$A$7:$AB$188,26,FALSE)))))</f>
        <v>2.4791392122544806</v>
      </c>
      <c r="F83" s="26">
        <f t="shared" si="12"/>
        <v>2.439545881294694</v>
      </c>
      <c r="G83" s="27">
        <f t="shared" si="18"/>
        <v>95.592093786935621</v>
      </c>
      <c r="H83" s="1"/>
      <c r="I83" s="127">
        <f t="shared" si="17"/>
        <v>93.838225073206814</v>
      </c>
      <c r="J83" s="25">
        <f>IF(A83&gt;200,"",C83*'Adj-Barrows'!$C$6)</f>
        <v>1546.5846010853611</v>
      </c>
      <c r="K83" s="26">
        <f>IF(A83&gt;200,"",D83*'Adj-Barrows'!$C$7)</f>
        <v>0.25287087641567013</v>
      </c>
      <c r="L83" s="1">
        <f t="shared" si="13"/>
        <v>3.9545874723675025</v>
      </c>
      <c r="M83" s="26">
        <f t="shared" si="14"/>
        <v>6.1161040884086599</v>
      </c>
      <c r="N83" s="30">
        <f t="shared" si="19"/>
        <v>239.65574909357321</v>
      </c>
    </row>
    <row r="84" spans="1:14" x14ac:dyDescent="0.25">
      <c r="A84" s="25">
        <f t="shared" si="11"/>
        <v>102</v>
      </c>
      <c r="B84" s="27">
        <f>IF(A84&gt;200,"",IF($C$1='Adj-Mixed'!$A$21,VLOOKUP(A84,'800'!$A$6:$AB$188,2,FALSE),IF($C$1='Adj-Mixed'!$A$20,VLOOKUP(A84,'800'!$A$6:$AB$188,11,FALSE),IF($C$1='Adj-Mixed'!$A$19,VLOOKUP(A84,'800'!$A$6:$AB$188,20,FALSE)))))</f>
        <v>59.224999728836714</v>
      </c>
      <c r="C84" s="25">
        <f t="shared" si="15"/>
        <v>987.10423203556979</v>
      </c>
      <c r="D84" s="26">
        <f t="shared" si="16"/>
        <v>0.39990614423949955</v>
      </c>
      <c r="E84" s="26">
        <f>IF(A84&gt;200,"",IF($C$1='Adj-Mixed'!$A$21,VLOOKUP(A84,'800'!$A$7:$AB$188,8,FALSE),IF($C$1='Adj-Mixed'!$A$20,VLOOKUP(A84,'800'!$A$7:$AB$188,17,FALSE),IF($C$1='Adj-Mixed'!$A$19,VLOOKUP(A84,'800'!$A$7:$AB$188,26,FALSE)))))</f>
        <v>2.5005867361745526</v>
      </c>
      <c r="F84" s="26">
        <f t="shared" si="12"/>
        <v>2.468339749849914</v>
      </c>
      <c r="G84" s="27">
        <f t="shared" si="18"/>
        <v>98.060433536785538</v>
      </c>
      <c r="H84" s="1"/>
      <c r="I84" s="127">
        <f t="shared" si="17"/>
        <v>95.389642336588437</v>
      </c>
      <c r="J84" s="25">
        <f>IF(A84&gt;200,"",C84*'Adj-Barrows'!$C$6)</f>
        <v>1551.4172633816286</v>
      </c>
      <c r="K84" s="26">
        <f>IF(A84&gt;200,"",D84*'Adj-Barrows'!$C$7)</f>
        <v>0.25070200376984003</v>
      </c>
      <c r="L84" s="1">
        <f t="shared" si="13"/>
        <v>3.9887993911610771</v>
      </c>
      <c r="M84" s="26">
        <f t="shared" si="14"/>
        <v>6.1882922356134245</v>
      </c>
      <c r="N84" s="30">
        <f t="shared" si="19"/>
        <v>245.84404132918664</v>
      </c>
    </row>
    <row r="85" spans="1:14" x14ac:dyDescent="0.25">
      <c r="A85" s="25">
        <f t="shared" si="11"/>
        <v>103</v>
      </c>
      <c r="B85" s="27">
        <f>IF(A85&gt;200,"",IF($C$1='Adj-Mixed'!$A$21,VLOOKUP(A85,'800'!$A$6:$AB$188,2,FALSE),IF($C$1='Adj-Mixed'!$A$20,VLOOKUP(A85,'800'!$A$6:$AB$188,11,FALSE),IF($C$1='Adj-Mixed'!$A$19,VLOOKUP(A85,'800'!$A$6:$AB$188,20,FALSE)))))</f>
        <v>60.215008135304231</v>
      </c>
      <c r="C85" s="25">
        <f t="shared" si="15"/>
        <v>990.00840646751703</v>
      </c>
      <c r="D85" s="26">
        <f t="shared" si="16"/>
        <v>0.39653421319988258</v>
      </c>
      <c r="E85" s="26">
        <f>IF(A85&gt;200,"",IF($C$1='Adj-Mixed'!$A$21,VLOOKUP(A85,'800'!$A$7:$AB$188,8,FALSE),IF($C$1='Adj-Mixed'!$A$20,VLOOKUP(A85,'800'!$A$7:$AB$188,17,FALSE),IF($C$1='Adj-Mixed'!$A$19,VLOOKUP(A85,'800'!$A$7:$AB$188,26,FALSE)))))</f>
        <v>2.5218504903533407</v>
      </c>
      <c r="F85" s="26">
        <f t="shared" si="12"/>
        <v>2.4966531853040372</v>
      </c>
      <c r="G85" s="27">
        <f t="shared" si="18"/>
        <v>100.55708672208958</v>
      </c>
      <c r="H85" s="1"/>
      <c r="I85" s="127">
        <f t="shared" si="17"/>
        <v>96.94562404838733</v>
      </c>
      <c r="J85" s="25">
        <f>IF(A85&gt;200,"",C85*'Adj-Barrows'!$C$6)</f>
        <v>1555.9817117988978</v>
      </c>
      <c r="K85" s="26">
        <f>IF(A85&gt;200,"",D85*'Adj-Barrows'!$C$7)</f>
        <v>0.24858813310197797</v>
      </c>
      <c r="L85" s="1">
        <f t="shared" si="13"/>
        <v>4.0227181705000028</v>
      </c>
      <c r="M85" s="26">
        <f t="shared" si="14"/>
        <v>6.2592759050191251</v>
      </c>
      <c r="N85" s="30">
        <f t="shared" si="19"/>
        <v>252.10331723420578</v>
      </c>
    </row>
    <row r="86" spans="1:14" x14ac:dyDescent="0.25">
      <c r="A86" s="25">
        <f t="shared" si="11"/>
        <v>104</v>
      </c>
      <c r="B86" s="27">
        <f>IF(A86&gt;200,"",IF($C$1='Adj-Mixed'!$A$21,VLOOKUP(A86,'800'!$A$6:$AB$188,2,FALSE),IF($C$1='Adj-Mixed'!$A$20,VLOOKUP(A86,'800'!$A$6:$AB$188,11,FALSE),IF($C$1='Adj-Mixed'!$A$19,VLOOKUP(A86,'800'!$A$6:$AB$188,20,FALSE)))))</f>
        <v>61.20775157293118</v>
      </c>
      <c r="C86" s="25">
        <f t="shared" si="15"/>
        <v>992.74343762694889</v>
      </c>
      <c r="D86" s="26">
        <f t="shared" si="16"/>
        <v>0.39324637653046274</v>
      </c>
      <c r="E86" s="26">
        <f>IF(A86&gt;200,"",IF($C$1='Adj-Mixed'!$A$21,VLOOKUP(A86,'800'!$A$7:$AB$188,8,FALSE),IF($C$1='Adj-Mixed'!$A$20,VLOOKUP(A86,'800'!$A$7:$AB$188,17,FALSE),IF($C$1='Adj-Mixed'!$A$19,VLOOKUP(A86,'800'!$A$7:$AB$188,26,FALSE)))))</f>
        <v>2.5429350648385065</v>
      </c>
      <c r="F86" s="26">
        <f t="shared" si="12"/>
        <v>2.5244820979298872</v>
      </c>
      <c r="G86" s="27">
        <f t="shared" si="18"/>
        <v>103.08156882001947</v>
      </c>
      <c r="H86" s="1"/>
      <c r="I86" s="127">
        <f t="shared" si="17"/>
        <v>98.505904368599531</v>
      </c>
      <c r="J86" s="25">
        <f>IF(A86&gt;200,"",C86*'Adj-Barrows'!$C$6)</f>
        <v>1560.280320212195</v>
      </c>
      <c r="K86" s="26">
        <f>IF(A86&gt;200,"",D86*'Adj-Barrows'!$C$7)</f>
        <v>0.24652698137184134</v>
      </c>
      <c r="L86" s="1">
        <f t="shared" si="13"/>
        <v>4.0563511321776211</v>
      </c>
      <c r="M86" s="26">
        <f t="shared" si="14"/>
        <v>6.329044843407198</v>
      </c>
      <c r="N86" s="30">
        <f t="shared" si="19"/>
        <v>258.43236207761299</v>
      </c>
    </row>
    <row r="87" spans="1:14" x14ac:dyDescent="0.25">
      <c r="A87" s="25">
        <f t="shared" si="11"/>
        <v>105</v>
      </c>
      <c r="B87" s="27">
        <f>IF(A87&gt;200,"",IF($C$1='Adj-Mixed'!$A$21,VLOOKUP(A87,'800'!$A$6:$AB$188,2,FALSE),IF($C$1='Adj-Mixed'!$A$20,VLOOKUP(A87,'800'!$A$6:$AB$188,11,FALSE),IF($C$1='Adj-Mixed'!$A$19,VLOOKUP(A87,'800'!$A$6:$AB$188,20,FALSE)))))</f>
        <v>62.203062466806998</v>
      </c>
      <c r="C87" s="25">
        <f t="shared" si="15"/>
        <v>995.31089387581778</v>
      </c>
      <c r="D87" s="26">
        <f t="shared" si="16"/>
        <v>0.3900391384299125</v>
      </c>
      <c r="E87" s="26">
        <f>IF(A87&gt;200,"",IF($C$1='Adj-Mixed'!$A$21,VLOOKUP(A87,'800'!$A$7:$AB$188,8,FALSE),IF($C$1='Adj-Mixed'!$A$20,VLOOKUP(A87,'800'!$A$7:$AB$188,17,FALSE),IF($C$1='Adj-Mixed'!$A$19,VLOOKUP(A87,'800'!$A$7:$AB$188,26,FALSE)))))</f>
        <v>2.5638452695425937</v>
      </c>
      <c r="F87" s="26">
        <f t="shared" si="12"/>
        <v>2.5518231269877258</v>
      </c>
      <c r="G87" s="27">
        <f t="shared" si="18"/>
        <v>105.6333919470072</v>
      </c>
      <c r="H87" s="1"/>
      <c r="I87" s="127">
        <f t="shared" si="17"/>
        <v>100.07021992219256</v>
      </c>
      <c r="J87" s="25">
        <f>IF(A87&gt;200,"",C87*'Adj-Barrows'!$C$6)</f>
        <v>1564.3155535930287</v>
      </c>
      <c r="K87" s="26">
        <f>IF(A87&gt;200,"",D87*'Adj-Barrows'!$C$7)</f>
        <v>0.24451635705421801</v>
      </c>
      <c r="L87" s="1">
        <f t="shared" si="13"/>
        <v>4.0897059487037275</v>
      </c>
      <c r="M87" s="26">
        <f t="shared" si="14"/>
        <v>6.3975906251791734</v>
      </c>
      <c r="N87" s="30">
        <f t="shared" si="19"/>
        <v>264.82995270279218</v>
      </c>
    </row>
    <row r="88" spans="1:14" x14ac:dyDescent="0.25">
      <c r="A88" s="25">
        <f t="shared" si="11"/>
        <v>106</v>
      </c>
      <c r="B88" s="27">
        <f>IF(A88&gt;200,"",IF($C$1='Adj-Mixed'!$A$21,VLOOKUP(A88,'800'!$A$6:$AB$188,2,FALSE),IF($C$1='Adj-Mixed'!$A$20,VLOOKUP(A88,'800'!$A$6:$AB$188,11,FALSE),IF($C$1='Adj-Mixed'!$A$19,VLOOKUP(A88,'800'!$A$6:$AB$188,20,FALSE)))))</f>
        <v>63.200774865817309</v>
      </c>
      <c r="C88" s="25">
        <f t="shared" si="15"/>
        <v>997.71239901031095</v>
      </c>
      <c r="D88" s="26">
        <f t="shared" si="16"/>
        <v>0.3869091427984564</v>
      </c>
      <c r="E88" s="26">
        <f>IF(A88&gt;200,"",IF($C$1='Adj-Mixed'!$A$21,VLOOKUP(A88,'800'!$A$7:$AB$188,8,FALSE),IF($C$1='Adj-Mixed'!$A$20,VLOOKUP(A88,'800'!$A$7:$AB$188,17,FALSE),IF($C$1='Adj-Mixed'!$A$19,VLOOKUP(A88,'800'!$A$7:$AB$188,26,FALSE)))))</f>
        <v>2.5845861195399737</v>
      </c>
      <c r="F88" s="26">
        <f t="shared" si="12"/>
        <v>2.5786736177749776</v>
      </c>
      <c r="G88" s="27">
        <f t="shared" si="18"/>
        <v>108.21206556478218</v>
      </c>
      <c r="H88" s="1"/>
      <c r="I88" s="127">
        <f t="shared" si="17"/>
        <v>101.63830988623064</v>
      </c>
      <c r="J88" s="25">
        <f>IF(A88&gt;200,"",C88*'Adj-Barrows'!$C$6)</f>
        <v>1568.0899640380828</v>
      </c>
      <c r="K88" s="26">
        <f>IF(A88&gt;200,"",D88*'Adj-Barrows'!$C$7)</f>
        <v>0.24255415620309292</v>
      </c>
      <c r="L88" s="1">
        <f t="shared" si="13"/>
        <v>4.1227906198510587</v>
      </c>
      <c r="M88" s="26">
        <f t="shared" si="14"/>
        <v>6.4649065948187916</v>
      </c>
      <c r="N88" s="30">
        <f t="shared" si="19"/>
        <v>271.29485929761097</v>
      </c>
    </row>
    <row r="89" spans="1:14" x14ac:dyDescent="0.25">
      <c r="A89" s="25">
        <f t="shared" si="11"/>
        <v>107</v>
      </c>
      <c r="B89" s="27">
        <f>IF(A89&gt;200,"",IF($C$1='Adj-Mixed'!$A$21,VLOOKUP(A89,'800'!$A$6:$AB$188,2,FALSE),IF($C$1='Adj-Mixed'!$A$20,VLOOKUP(A89,'800'!$A$6:$AB$188,11,FALSE),IF($C$1='Adj-Mixed'!$A$19,VLOOKUP(A89,'800'!$A$6:$AB$188,20,FALSE)))))</f>
        <v>64.2007244955647</v>
      </c>
      <c r="C89" s="25">
        <f t="shared" si="15"/>
        <v>999.9496297473911</v>
      </c>
      <c r="D89" s="26">
        <f t="shared" si="16"/>
        <v>0.38385316729627977</v>
      </c>
      <c r="E89" s="26">
        <f>IF(A89&gt;200,"",IF($C$1='Adj-Mixed'!$A$21,VLOOKUP(A89,'800'!$A$7:$AB$188,8,FALSE),IF($C$1='Adj-Mixed'!$A$20,VLOOKUP(A89,'800'!$A$7:$AB$188,17,FALSE),IF($C$1='Adj-Mixed'!$A$19,VLOOKUP(A89,'800'!$A$7:$AB$188,26,FALSE)))))</f>
        <v>2.6051628205744177</v>
      </c>
      <c r="F89" s="26">
        <f t="shared" si="12"/>
        <v>2.6050315978650582</v>
      </c>
      <c r="G89" s="27">
        <f t="shared" si="18"/>
        <v>110.81709716264724</v>
      </c>
      <c r="H89" s="1"/>
      <c r="I89" s="127">
        <f t="shared" si="17"/>
        <v>103.2099160730495</v>
      </c>
      <c r="J89" s="25">
        <f>IF(A89&gt;200,"",C89*'Adj-Barrows'!$C$6)</f>
        <v>1571.606186818849</v>
      </c>
      <c r="K89" s="26">
        <f>IF(A89&gt;200,"",D89*'Adj-Barrows'!$C$7)</f>
        <v>0.24063835872685213</v>
      </c>
      <c r="L89" s="1">
        <f t="shared" si="13"/>
        <v>4.1556134495377641</v>
      </c>
      <c r="M89" s="26">
        <f t="shared" si="14"/>
        <v>6.5309878073211687</v>
      </c>
      <c r="N89" s="30">
        <f t="shared" si="19"/>
        <v>277.82584710493217</v>
      </c>
    </row>
    <row r="90" spans="1:14" x14ac:dyDescent="0.25">
      <c r="A90" s="25">
        <f t="shared" si="11"/>
        <v>108</v>
      </c>
      <c r="B90" s="27">
        <f>IF(A90&gt;200,"",IF($C$1='Adj-Mixed'!$A$21,VLOOKUP(A90,'800'!$A$6:$AB$188,2,FALSE),IF($C$1='Adj-Mixed'!$A$20,VLOOKUP(A90,'800'!$A$6:$AB$188,11,FALSE),IF($C$1='Adj-Mixed'!$A$19,VLOOKUP(A90,'800'!$A$6:$AB$188,20,FALSE)))))</f>
        <v>65.202748808791824</v>
      </c>
      <c r="C90" s="25">
        <f t="shared" si="15"/>
        <v>1002.0243132271247</v>
      </c>
      <c r="D90" s="26">
        <f t="shared" si="16"/>
        <v>0.38086811771780132</v>
      </c>
      <c r="E90" s="26">
        <f>IF(A90&gt;200,"",IF($C$1='Adj-Mixed'!$A$21,VLOOKUP(A90,'800'!$A$7:$AB$188,8,FALSE),IF($C$1='Adj-Mixed'!$A$20,VLOOKUP(A90,'800'!$A$7:$AB$188,17,FALSE),IF($C$1='Adj-Mixed'!$A$19,VLOOKUP(A90,'800'!$A$7:$AB$188,26,FALSE)))))</f>
        <v>2.6255807548085066</v>
      </c>
      <c r="F90" s="26">
        <f t="shared" si="12"/>
        <v>2.6308957526593493</v>
      </c>
      <c r="G90" s="27">
        <f t="shared" si="18"/>
        <v>113.4479929153066</v>
      </c>
      <c r="H90" s="1"/>
      <c r="I90" s="127">
        <f t="shared" si="17"/>
        <v>104.78478300950557</v>
      </c>
      <c r="J90" s="25">
        <f>IF(A90&gt;200,"",C90*'Adj-Barrows'!$C$6)</f>
        <v>1574.8669364560722</v>
      </c>
      <c r="K90" s="26">
        <f>IF(A90&gt;200,"",D90*'Adj-Barrows'!$C$7)</f>
        <v>0.23876702486150228</v>
      </c>
      <c r="L90" s="1">
        <f t="shared" si="13"/>
        <v>4.1881830230956467</v>
      </c>
      <c r="M90" s="26">
        <f t="shared" si="14"/>
        <v>6.5958309668999711</v>
      </c>
      <c r="N90" s="30">
        <f t="shared" si="19"/>
        <v>284.42167807183216</v>
      </c>
    </row>
    <row r="91" spans="1:14" x14ac:dyDescent="0.25">
      <c r="A91" s="25">
        <f t="shared" si="11"/>
        <v>109</v>
      </c>
      <c r="B91" s="27">
        <f>IF(A91&gt;200,"",IF($C$1='Adj-Mixed'!$A$21,VLOOKUP(A91,'800'!$A$6:$AB$188,2,FALSE),IF($C$1='Adj-Mixed'!$A$20,VLOOKUP(A91,'800'!$A$6:$AB$188,11,FALSE),IF($C$1='Adj-Mixed'!$A$19,VLOOKUP(A91,'800'!$A$6:$AB$188,20,FALSE)))))</f>
        <v>66.206687033325466</v>
      </c>
      <c r="C91" s="25">
        <f t="shared" si="15"/>
        <v>1003.9382245336412</v>
      </c>
      <c r="D91" s="26">
        <f t="shared" si="16"/>
        <v>0.37795102266248459</v>
      </c>
      <c r="E91" s="26">
        <f>IF(A91&gt;200,"",IF($C$1='Adj-Mixed'!$A$21,VLOOKUP(A91,'800'!$A$7:$AB$188,8,FALSE),IF($C$1='Adj-Mixed'!$A$20,VLOOKUP(A91,'800'!$A$7:$AB$188,17,FALSE),IF($C$1='Adj-Mixed'!$A$19,VLOOKUP(A91,'800'!$A$7:$AB$188,26,FALSE)))))</f>
        <v>2.645845466842442</v>
      </c>
      <c r="F91" s="26">
        <f t="shared" si="12"/>
        <v>2.6562654003721846</v>
      </c>
      <c r="G91" s="27">
        <f t="shared" si="18"/>
        <v>116.10425831567878</v>
      </c>
      <c r="H91" s="1"/>
      <c r="I91" s="127">
        <f t="shared" si="17"/>
        <v>106.36265801232905</v>
      </c>
      <c r="J91" s="25">
        <f>IF(A91&gt;200,"",C91*'Adj-Barrows'!$C$6)</f>
        <v>1577.875002823479</v>
      </c>
      <c r="K91" s="26">
        <f>IF(A91&gt;200,"",D91*'Adj-Barrows'!$C$7)</f>
        <v>0.23693829182979118</v>
      </c>
      <c r="L91" s="1">
        <f t="shared" si="13"/>
        <v>4.2205081849681259</v>
      </c>
      <c r="M91" s="26">
        <f t="shared" si="14"/>
        <v>6.6594343642730971</v>
      </c>
      <c r="N91" s="30">
        <f t="shared" si="19"/>
        <v>291.08111243610529</v>
      </c>
    </row>
    <row r="92" spans="1:14" x14ac:dyDescent="0.25">
      <c r="A92" s="25">
        <f t="shared" si="11"/>
        <v>110</v>
      </c>
      <c r="B92" s="27">
        <f>IF(A92&gt;200,"",IF($C$1='Adj-Mixed'!$A$21,VLOOKUP(A92,'800'!$A$6:$AB$188,2,FALSE),IF($C$1='Adj-Mixed'!$A$20,VLOOKUP(A92,'800'!$A$6:$AB$188,11,FALSE),IF($C$1='Adj-Mixed'!$A$19,VLOOKUP(A92,'800'!$A$6:$AB$188,20,FALSE)))))</f>
        <v>67.212380217562284</v>
      </c>
      <c r="C92" s="25">
        <f t="shared" si="15"/>
        <v>1005.6931842368186</v>
      </c>
      <c r="D92" s="26">
        <f t="shared" si="16"/>
        <v>0.37509902848378612</v>
      </c>
      <c r="E92" s="26">
        <f>IF(A92&gt;200,"",IF($C$1='Adj-Mixed'!$A$21,VLOOKUP(A92,'800'!$A$7:$AB$188,8,FALSE),IF($C$1='Adj-Mixed'!$A$20,VLOOKUP(A92,'800'!$A$7:$AB$188,17,FALSE),IF($C$1='Adj-Mixed'!$A$19,VLOOKUP(A92,'800'!$A$7:$AB$188,26,FALSE)))))</f>
        <v>2.665962650029166</v>
      </c>
      <c r="F92" s="26">
        <f t="shared" si="12"/>
        <v>2.6811404665642593</v>
      </c>
      <c r="G92" s="27">
        <f t="shared" si="18"/>
        <v>118.78539878224304</v>
      </c>
      <c r="H92" s="1"/>
      <c r="I92" s="127">
        <f t="shared" si="17"/>
        <v>107.94329125961313</v>
      </c>
      <c r="J92" s="25">
        <f>IF(A92&gt;200,"",C92*'Adj-Barrows'!$C$6)</f>
        <v>1580.6332472840804</v>
      </c>
      <c r="K92" s="26">
        <f>IF(A92&gt;200,"",D92*'Adj-Barrows'!$C$7)</f>
        <v>0.2351503706746928</v>
      </c>
      <c r="L92" s="1">
        <f t="shared" si="13"/>
        <v>4.2525980168808699</v>
      </c>
      <c r="M92" s="26">
        <f t="shared" si="14"/>
        <v>6.7217978128162503</v>
      </c>
      <c r="N92" s="30">
        <f t="shared" si="19"/>
        <v>297.80291024892153</v>
      </c>
    </row>
    <row r="93" spans="1:14" x14ac:dyDescent="0.25">
      <c r="A93" s="25">
        <f t="shared" si="11"/>
        <v>111</v>
      </c>
      <c r="B93" s="27">
        <f>IF(A93&gt;200,"",IF($C$1='Adj-Mixed'!$A$21,VLOOKUP(A93,'800'!$A$6:$AB$188,2,FALSE),IF($C$1='Adj-Mixed'!$A$20,VLOOKUP(A93,'800'!$A$6:$AB$188,11,FALSE),IF($C$1='Adj-Mixed'!$A$19,VLOOKUP(A93,'800'!$A$6:$AB$188,20,FALSE)))))</f>
        <v>68.219671273520632</v>
      </c>
      <c r="C93" s="25">
        <f t="shared" si="15"/>
        <v>1007.2910559583477</v>
      </c>
      <c r="D93" s="26">
        <f t="shared" si="16"/>
        <v>0.3723093944995689</v>
      </c>
      <c r="E93" s="26">
        <f>IF(A93&gt;200,"",IF($C$1='Adj-Mixed'!$A$21,VLOOKUP(A93,'800'!$A$7:$AB$188,8,FALSE),IF($C$1='Adj-Mixed'!$A$20,VLOOKUP(A93,'800'!$A$7:$AB$188,17,FALSE),IF($C$1='Adj-Mixed'!$A$19,VLOOKUP(A93,'800'!$A$7:$AB$188,26,FALSE)))))</f>
        <v>2.6859381331060073</v>
      </c>
      <c r="F93" s="26">
        <f t="shared" si="12"/>
        <v>2.7055214583351432</v>
      </c>
      <c r="G93" s="27">
        <f t="shared" si="18"/>
        <v>121.49092024057818</v>
      </c>
      <c r="H93" s="1"/>
      <c r="I93" s="127">
        <f t="shared" si="17"/>
        <v>109.52643585847792</v>
      </c>
      <c r="J93" s="25">
        <f>IF(A93&gt;200,"",C93*'Adj-Barrows'!$C$6)</f>
        <v>1583.144598864792</v>
      </c>
      <c r="K93" s="26">
        <f>IF(A93&gt;200,"",D93*'Adj-Barrows'!$C$7)</f>
        <v>0.23340154325680532</v>
      </c>
      <c r="L93" s="1">
        <f t="shared" si="13"/>
        <v>4.2844618165173287</v>
      </c>
      <c r="M93" s="26">
        <f t="shared" si="14"/>
        <v>6.7829225838618452</v>
      </c>
      <c r="N93" s="30">
        <f t="shared" si="19"/>
        <v>304.58583283278335</v>
      </c>
    </row>
    <row r="94" spans="1:14" x14ac:dyDescent="0.25">
      <c r="A94" s="25">
        <f t="shared" si="11"/>
        <v>112</v>
      </c>
      <c r="B94" s="27">
        <f>IF(A94&gt;200,"",IF($C$1='Adj-Mixed'!$A$21,VLOOKUP(A94,'800'!$A$6:$AB$188,2,FALSE),IF($C$1='Adj-Mixed'!$A$20,VLOOKUP(A94,'800'!$A$6:$AB$188,11,FALSE),IF($C$1='Adj-Mixed'!$A$19,VLOOKUP(A94,'800'!$A$6:$AB$188,20,FALSE)))))</f>
        <v>69.228405017483723</v>
      </c>
      <c r="C94" s="25">
        <f t="shared" si="15"/>
        <v>1008.7337439630915</v>
      </c>
      <c r="D94" s="26">
        <f t="shared" si="16"/>
        <v>0.36957948844735944</v>
      </c>
      <c r="E94" s="26">
        <f>IF(A94&gt;200,"",IF($C$1='Adj-Mixed'!$A$21,VLOOKUP(A94,'800'!$A$7:$AB$188,8,FALSE),IF($C$1='Adj-Mixed'!$A$20,VLOOKUP(A94,'800'!$A$7:$AB$188,17,FALSE),IF($C$1='Adj-Mixed'!$A$19,VLOOKUP(A94,'800'!$A$7:$AB$188,26,FALSE)))))</f>
        <v>2.70577786716763</v>
      </c>
      <c r="F94" s="26">
        <f t="shared" si="12"/>
        <v>2.7294094382804719</v>
      </c>
      <c r="G94" s="27">
        <f t="shared" si="18"/>
        <v>124.22032967885865</v>
      </c>
      <c r="H94" s="1"/>
      <c r="I94" s="127">
        <f t="shared" si="17"/>
        <v>111.11184790894873</v>
      </c>
      <c r="J94" s="25">
        <f>IF(A94&gt;200,"",C94*'Adj-Barrows'!$C$6)</f>
        <v>1585.4120504708069</v>
      </c>
      <c r="K94" s="26">
        <f>IF(A94&gt;200,"",D94*'Adj-Barrows'!$C$7)</f>
        <v>0.23169015940524226</v>
      </c>
      <c r="L94" s="1">
        <f t="shared" si="13"/>
        <v>4.3161090767386892</v>
      </c>
      <c r="M94" s="26">
        <f t="shared" si="14"/>
        <v>6.8428113414079474</v>
      </c>
      <c r="N94" s="30">
        <f t="shared" si="19"/>
        <v>311.42864417419128</v>
      </c>
    </row>
    <row r="95" spans="1:14" x14ac:dyDescent="0.25">
      <c r="A95" s="25">
        <f t="shared" si="11"/>
        <v>113</v>
      </c>
      <c r="B95" s="27">
        <f>IF(A95&gt;200,"",IF($C$1='Adj-Mixed'!$A$21,VLOOKUP(A95,'800'!$A$6:$AB$188,2,FALSE),IF($C$1='Adj-Mixed'!$A$20,VLOOKUP(A95,'800'!$A$6:$AB$188,11,FALSE),IF($C$1='Adj-Mixed'!$A$19,VLOOKUP(A95,'800'!$A$6:$AB$188,20,FALSE)))))</f>
        <v>70.238428208262761</v>
      </c>
      <c r="C95" s="25">
        <f t="shared" si="15"/>
        <v>1010.0231907790373</v>
      </c>
      <c r="D95" s="26">
        <f t="shared" si="16"/>
        <v>0.36690678216975736</v>
      </c>
      <c r="E95" s="26">
        <f>IF(A95&gt;200,"",IF($C$1='Adj-Mixed'!$A$21,VLOOKUP(A95,'800'!$A$7:$AB$188,8,FALSE),IF($C$1='Adj-Mixed'!$A$20,VLOOKUP(A95,'800'!$A$7:$AB$188,17,FALSE),IF($C$1='Adj-Mixed'!$A$19,VLOOKUP(A95,'800'!$A$7:$AB$188,26,FALSE)))))</f>
        <v>2.7254879129961909</v>
      </c>
      <c r="F95" s="26">
        <f t="shared" si="12"/>
        <v>2.7528059983141122</v>
      </c>
      <c r="G95" s="27">
        <f t="shared" si="18"/>
        <v>126.97313567717276</v>
      </c>
      <c r="H95" s="1"/>
      <c r="I95" s="127">
        <f t="shared" si="17"/>
        <v>112.69928656409364</v>
      </c>
      <c r="J95" s="25">
        <f>IF(A95&gt;200,"",C95*'Adj-Barrows'!$C$6)</f>
        <v>1587.4386551449106</v>
      </c>
      <c r="K95" s="26">
        <f>IF(A95&gt;200,"",D95*'Adj-Barrows'!$C$7)</f>
        <v>0.23001463421280666</v>
      </c>
      <c r="L95" s="1">
        <f t="shared" si="13"/>
        <v>4.3475494653736355</v>
      </c>
      <c r="M95" s="26">
        <f t="shared" si="14"/>
        <v>6.9014680764887002</v>
      </c>
      <c r="N95" s="30">
        <f t="shared" si="19"/>
        <v>318.33011225067997</v>
      </c>
    </row>
    <row r="96" spans="1:14" x14ac:dyDescent="0.25">
      <c r="A96" s="25">
        <f t="shared" si="11"/>
        <v>114</v>
      </c>
      <c r="B96" s="27">
        <f>IF(A96&gt;200,"",IF($C$1='Adj-Mixed'!$A$21,VLOOKUP(A96,'800'!$A$6:$AB$188,2,FALSE),IF($C$1='Adj-Mixed'!$A$20,VLOOKUP(A96,'800'!$A$6:$AB$188,11,FALSE),IF($C$1='Adj-Mixed'!$A$19,VLOOKUP(A96,'800'!$A$6:$AB$188,20,FALSE)))))</f>
        <v>71.249589583110179</v>
      </c>
      <c r="C96" s="25">
        <f t="shared" si="15"/>
        <v>1011.1613748474184</v>
      </c>
      <c r="D96" s="26">
        <f t="shared" si="16"/>
        <v>0.36428884751561735</v>
      </c>
      <c r="E96" s="26">
        <f>IF(A96&gt;200,"",IF($C$1='Adj-Mixed'!$A$21,VLOOKUP(A96,'800'!$A$7:$AB$188,8,FALSE),IF($C$1='Adj-Mixed'!$A$20,VLOOKUP(A96,'800'!$A$7:$AB$188,17,FALSE),IF($C$1='Adj-Mixed'!$A$19,VLOOKUP(A96,'800'!$A$7:$AB$188,26,FALSE)))))</f>
        <v>2.7450744287666651</v>
      </c>
      <c r="F96" s="26">
        <f t="shared" si="12"/>
        <v>2.7757132334501931</v>
      </c>
      <c r="G96" s="27">
        <f t="shared" si="18"/>
        <v>129.74884891062297</v>
      </c>
      <c r="H96" s="1"/>
      <c r="I96" s="127">
        <f t="shared" si="17"/>
        <v>114.28851408646786</v>
      </c>
      <c r="J96" s="25">
        <f>IF(A96&gt;200,"",C96*'Adj-Barrows'!$C$6)</f>
        <v>1589.2275223742113</v>
      </c>
      <c r="K96" s="26">
        <f>IF(A96&gt;200,"",D96*'Adj-Barrows'!$C$7)</f>
        <v>0.22837344546643334</v>
      </c>
      <c r="L96" s="1">
        <f t="shared" si="13"/>
        <v>4.3787928056065581</v>
      </c>
      <c r="M96" s="26">
        <f t="shared" si="14"/>
        <v>6.9588980414441313</v>
      </c>
      <c r="N96" s="30">
        <f t="shared" si="19"/>
        <v>325.28901029212409</v>
      </c>
    </row>
    <row r="97" spans="1:14" x14ac:dyDescent="0.25">
      <c r="A97" s="25">
        <f t="shared" si="11"/>
        <v>115</v>
      </c>
      <c r="B97" s="27">
        <f>IF(A97&gt;200,"",IF($C$1='Adj-Mixed'!$A$21,VLOOKUP(A97,'800'!$A$6:$AB$188,2,FALSE),IF($C$1='Adj-Mixed'!$A$20,VLOOKUP(A97,'800'!$A$6:$AB$188,11,FALSE),IF($C$1='Adj-Mixed'!$A$19,VLOOKUP(A97,'800'!$A$6:$AB$188,20,FALSE)))))</f>
        <v>72.261739891315798</v>
      </c>
      <c r="C97" s="25">
        <f t="shared" si="15"/>
        <v>1012.1503082056194</v>
      </c>
      <c r="D97" s="26">
        <f t="shared" si="16"/>
        <v>0.36172335244393578</v>
      </c>
      <c r="E97" s="26">
        <f>IF(A97&gt;200,"",IF($C$1='Adj-Mixed'!$A$21,VLOOKUP(A97,'800'!$A$7:$AB$188,8,FALSE),IF($C$1='Adj-Mixed'!$A$20,VLOOKUP(A97,'800'!$A$7:$AB$188,17,FALSE),IF($C$1='Adj-Mixed'!$A$19,VLOOKUP(A97,'800'!$A$7:$AB$188,26,FALSE)))))</f>
        <v>2.7645436581399374</v>
      </c>
      <c r="F97" s="26">
        <f t="shared" si="12"/>
        <v>2.7981337156342279</v>
      </c>
      <c r="G97" s="27">
        <f t="shared" si="18"/>
        <v>132.5469826262572</v>
      </c>
      <c r="H97" s="1"/>
      <c r="I97" s="127">
        <f t="shared" si="17"/>
        <v>115.87929590091625</v>
      </c>
      <c r="J97" s="25">
        <f>IF(A97&gt;200,"",C97*'Adj-Barrows'!$C$6)</f>
        <v>1590.7818144483956</v>
      </c>
      <c r="K97" s="26">
        <f>IF(A97&gt;200,"",D97*'Adj-Barrows'!$C$7)</f>
        <v>0.2267651312047074</v>
      </c>
      <c r="L97" s="1">
        <f t="shared" si="13"/>
        <v>4.4098490569843003</v>
      </c>
      <c r="M97" s="26">
        <f t="shared" si="14"/>
        <v>7.0151076843130316</v>
      </c>
      <c r="N97" s="30">
        <f t="shared" si="19"/>
        <v>332.30411797643711</v>
      </c>
    </row>
    <row r="98" spans="1:14" x14ac:dyDescent="0.25">
      <c r="A98" s="25">
        <f t="shared" si="11"/>
        <v>116</v>
      </c>
      <c r="B98" s="27">
        <f>IF(A98&gt;200,"",IF($C$1='Adj-Mixed'!$A$21,VLOOKUP(A98,'800'!$A$6:$AB$188,2,FALSE),IF($C$1='Adj-Mixed'!$A$20,VLOOKUP(A98,'800'!$A$6:$AB$188,11,FALSE),IF($C$1='Adj-Mixed'!$A$19,VLOOKUP(A98,'800'!$A$6:$AB$188,20,FALSE)))))</f>
        <v>73.274731925519376</v>
      </c>
      <c r="C98" s="25">
        <f t="shared" si="15"/>
        <v>1012.9920342035774</v>
      </c>
      <c r="D98" s="26">
        <f t="shared" si="16"/>
        <v>0.35920805731753314</v>
      </c>
      <c r="E98" s="26">
        <f>IF(A98&gt;200,"",IF($C$1='Adj-Mixed'!$A$21,VLOOKUP(A98,'800'!$A$7:$AB$188,8,FALSE),IF($C$1='Adj-Mixed'!$A$20,VLOOKUP(A98,'800'!$A$7:$AB$188,17,FALSE),IF($C$1='Adj-Mixed'!$A$19,VLOOKUP(A98,'800'!$A$7:$AB$188,26,FALSE)))))</f>
        <v>2.7839019187590743</v>
      </c>
      <c r="F98" s="26">
        <f t="shared" si="12"/>
        <v>2.820070467706997</v>
      </c>
      <c r="G98" s="27">
        <f t="shared" si="18"/>
        <v>135.36705309396419</v>
      </c>
      <c r="H98" s="1"/>
      <c r="I98" s="127">
        <f t="shared" si="17"/>
        <v>117.47140064378688</v>
      </c>
      <c r="J98" s="25">
        <f>IF(A98&gt;200,"",C98*'Adj-Barrows'!$C$6)</f>
        <v>1592.1047428706318</v>
      </c>
      <c r="K98" s="26">
        <f>IF(A98&gt;200,"",D98*'Adj-Barrows'!$C$7)</f>
        <v>0.22518828739436575</v>
      </c>
      <c r="L98" s="1">
        <f t="shared" si="13"/>
        <v>4.4407282970660411</v>
      </c>
      <c r="M98" s="26">
        <f t="shared" si="14"/>
        <v>7.0701045835586678</v>
      </c>
      <c r="N98" s="30">
        <f t="shared" si="19"/>
        <v>339.37422255999576</v>
      </c>
    </row>
    <row r="99" spans="1:14" x14ac:dyDescent="0.25">
      <c r="A99" s="25">
        <f t="shared" si="11"/>
        <v>117</v>
      </c>
      <c r="B99" s="27">
        <f>IF(A99&gt;200,"",IF($C$1='Adj-Mixed'!$A$21,VLOOKUP(A99,'800'!$A$6:$AB$188,2,FALSE),IF($C$1='Adj-Mixed'!$A$20,VLOOKUP(A99,'800'!$A$6:$AB$188,11,FALSE),IF($C$1='Adj-Mixed'!$A$19,VLOOKUP(A99,'800'!$A$6:$AB$188,20,FALSE)))))</f>
        <v>74.288420550776479</v>
      </c>
      <c r="C99" s="25">
        <f t="shared" si="15"/>
        <v>1013.6886252571031</v>
      </c>
      <c r="D99" s="26">
        <f t="shared" si="16"/>
        <v>0.35674081137543678</v>
      </c>
      <c r="E99" s="26">
        <f>IF(A99&gt;200,"",IF($C$1='Adj-Mixed'!$A$21,VLOOKUP(A99,'800'!$A$7:$AB$188,8,FALSE),IF($C$1='Adj-Mixed'!$A$20,VLOOKUP(A99,'800'!$A$7:$AB$188,17,FALSE),IF($C$1='Adj-Mixed'!$A$19,VLOOKUP(A99,'800'!$A$7:$AB$188,26,FALSE)))))</f>
        <v>2.803155591154364</v>
      </c>
      <c r="F99" s="26">
        <f t="shared" si="12"/>
        <v>2.8415269375790295</v>
      </c>
      <c r="G99" s="27">
        <f t="shared" si="18"/>
        <v>138.20858003154322</v>
      </c>
      <c r="H99" s="1"/>
      <c r="I99" s="127">
        <f t="shared" si="17"/>
        <v>119.06460020861337</v>
      </c>
      <c r="J99" s="25">
        <f>IF(A99&gt;200,"",C99*'Adj-Barrows'!$C$6)</f>
        <v>1593.1995648264938</v>
      </c>
      <c r="K99" s="26">
        <f>IF(A99&gt;200,"",D99*'Adj-Barrows'!$C$7)</f>
        <v>0.22364156571882648</v>
      </c>
      <c r="L99" s="1">
        <f t="shared" si="13"/>
        <v>4.4714407037252224</v>
      </c>
      <c r="M99" s="26">
        <f t="shared" si="14"/>
        <v>7.123897383322495</v>
      </c>
      <c r="N99" s="30">
        <f t="shared" si="19"/>
        <v>346.49811994331827</v>
      </c>
    </row>
    <row r="100" spans="1:14" x14ac:dyDescent="0.25">
      <c r="A100" s="25">
        <f t="shared" si="11"/>
        <v>118</v>
      </c>
      <c r="B100" s="27">
        <f>IF(A100&gt;200,"",IF($C$1='Adj-Mixed'!$A$21,VLOOKUP(A100,'800'!$A$6:$AB$188,2,FALSE),IF($C$1='Adj-Mixed'!$A$20,VLOOKUP(A100,'800'!$A$6:$AB$188,11,FALSE),IF($C$1='Adj-Mixed'!$A$19,VLOOKUP(A100,'800'!$A$6:$AB$188,20,FALSE)))))</f>
        <v>75.302662731414486</v>
      </c>
      <c r="C100" s="25">
        <f t="shared" si="15"/>
        <v>1014.2421806380071</v>
      </c>
      <c r="D100" s="26">
        <f t="shared" si="16"/>
        <v>0.35431954937235816</v>
      </c>
      <c r="E100" s="26">
        <f>IF(A100&gt;200,"",IF($C$1='Adj-Mixed'!$A$21,VLOOKUP(A100,'800'!$A$7:$AB$188,8,FALSE),IF($C$1='Adj-Mixed'!$A$20,VLOOKUP(A100,'800'!$A$7:$AB$188,17,FALSE),IF($C$1='Adj-Mixed'!$A$19,VLOOKUP(A100,'800'!$A$7:$AB$188,26,FALSE)))))</f>
        <v>2.822311108070104</v>
      </c>
      <c r="F100" s="26">
        <f t="shared" si="12"/>
        <v>2.8625069726878922</v>
      </c>
      <c r="G100" s="27">
        <f t="shared" si="18"/>
        <v>141.07108700423112</v>
      </c>
      <c r="H100" s="1"/>
      <c r="I100" s="127">
        <f t="shared" si="17"/>
        <v>120.6586697883241</v>
      </c>
      <c r="J100" s="25">
        <f>IF(A100&gt;200,"",C100*'Adj-Barrows'!$C$6)</f>
        <v>1594.0695797107389</v>
      </c>
      <c r="K100" s="26">
        <f>IF(A100&gt;200,"",D100*'Adj-Barrows'!$C$7)</f>
        <v>0.22212367147147014</v>
      </c>
      <c r="L100" s="1">
        <f t="shared" si="13"/>
        <v>4.5019965381242191</v>
      </c>
      <c r="M100" s="26">
        <f t="shared" si="14"/>
        <v>7.1764957293868763</v>
      </c>
      <c r="N100" s="30">
        <f t="shared" si="19"/>
        <v>353.67461567270516</v>
      </c>
    </row>
    <row r="101" spans="1:14" x14ac:dyDescent="0.25">
      <c r="A101" s="25">
        <f t="shared" si="11"/>
        <v>119</v>
      </c>
      <c r="B101" s="27">
        <f>IF(A101&gt;200,"",IF($C$1='Adj-Mixed'!$A$21,VLOOKUP(A101,'800'!$A$6:$AB$188,2,FALSE),IF($C$1='Adj-Mixed'!$A$20,VLOOKUP(A101,'800'!$A$6:$AB$188,11,FALSE),IF($C$1='Adj-Mixed'!$A$19,VLOOKUP(A101,'800'!$A$6:$AB$188,20,FALSE)))))</f>
        <v>76.317317555718788</v>
      </c>
      <c r="C101" s="25">
        <f t="shared" si="15"/>
        <v>1014.6548243043014</v>
      </c>
      <c r="D101" s="26">
        <f t="shared" si="16"/>
        <v>0.35194228837560204</v>
      </c>
      <c r="E101" s="26">
        <f>IF(A101&gt;200,"",IF($C$1='Adj-Mixed'!$A$21,VLOOKUP(A101,'800'!$A$7:$AB$188,8,FALSE),IF($C$1='Adj-Mixed'!$A$20,VLOOKUP(A101,'800'!$A$7:$AB$188,17,FALSE),IF($C$1='Adj-Mixed'!$A$19,VLOOKUP(A101,'800'!$A$7:$AB$188,26,FALSE)))))</f>
        <v>2.841374944214643</v>
      </c>
      <c r="F101" s="26">
        <f t="shared" si="12"/>
        <v>2.8830147948047529</v>
      </c>
      <c r="G101" s="27">
        <f t="shared" si="18"/>
        <v>143.95410179903587</v>
      </c>
      <c r="H101" s="1"/>
      <c r="I101" s="127">
        <f t="shared" si="17"/>
        <v>122.25338791404117</v>
      </c>
      <c r="J101" s="25">
        <f>IF(A101&gt;200,"",C101*'Adj-Barrows'!$C$6)</f>
        <v>1594.7181257170648</v>
      </c>
      <c r="K101" s="26">
        <f>IF(A101&gt;200,"",D101*'Adj-Barrows'!$C$7)</f>
        <v>0.22063336154761531</v>
      </c>
      <c r="L101" s="1">
        <f t="shared" si="13"/>
        <v>4.5324061283641734</v>
      </c>
      <c r="M101" s="26">
        <f t="shared" si="14"/>
        <v>7.227910206013453</v>
      </c>
      <c r="N101" s="30">
        <f t="shared" si="19"/>
        <v>360.90252587871862</v>
      </c>
    </row>
    <row r="102" spans="1:14" x14ac:dyDescent="0.25">
      <c r="A102" s="25">
        <f t="shared" si="11"/>
        <v>120</v>
      </c>
      <c r="B102" s="27">
        <f>IF(A102&gt;200,"",IF($C$1='Adj-Mixed'!$A$21,VLOOKUP(A102,'800'!$A$6:$AB$188,2,FALSE),IF($C$1='Adj-Mixed'!$A$20,VLOOKUP(A102,'800'!$A$6:$AB$188,11,FALSE),IF($C$1='Adj-Mixed'!$A$19,VLOOKUP(A102,'800'!$A$6:$AB$188,20,FALSE)))))</f>
        <v>77.332246258488937</v>
      </c>
      <c r="C102" s="25">
        <f t="shared" si="15"/>
        <v>1014.928702770149</v>
      </c>
      <c r="D102" s="26">
        <f t="shared" si="16"/>
        <v>0.34960712470916216</v>
      </c>
      <c r="E102" s="26">
        <f>IF(A102&gt;200,"",IF($C$1='Adj-Mixed'!$A$21,VLOOKUP(A102,'800'!$A$7:$AB$188,8,FALSE),IF($C$1='Adj-Mixed'!$A$20,VLOOKUP(A102,'800'!$A$7:$AB$188,17,FALSE),IF($C$1='Adj-Mixed'!$A$19,VLOOKUP(A102,'800'!$A$7:$AB$188,26,FALSE)))))</f>
        <v>2.8603536064429438</v>
      </c>
      <c r="F102" s="26">
        <f t="shared" si="12"/>
        <v>2.9030549752510542</v>
      </c>
      <c r="G102" s="27">
        <f t="shared" si="18"/>
        <v>146.85715677428692</v>
      </c>
      <c r="H102" s="1"/>
      <c r="I102" s="127">
        <f t="shared" si="17"/>
        <v>123.84853649053152</v>
      </c>
      <c r="J102" s="25">
        <f>IF(A102&gt;200,"",C102*'Adj-Barrows'!$C$6)</f>
        <v>1595.1485764903416</v>
      </c>
      <c r="K102" s="26">
        <f>IF(A102&gt;200,"",D102*'Adj-Barrows'!$C$7)</f>
        <v>0.21916944252876575</v>
      </c>
      <c r="L102" s="1">
        <f t="shared" si="13"/>
        <v>4.5626798538247462</v>
      </c>
      <c r="M102" s="26">
        <f t="shared" si="14"/>
        <v>7.2781522738097042</v>
      </c>
      <c r="N102" s="30">
        <f t="shared" si="19"/>
        <v>368.18067815252834</v>
      </c>
    </row>
    <row r="103" spans="1:14" x14ac:dyDescent="0.25">
      <c r="A103" s="25">
        <f t="shared" si="11"/>
        <v>121</v>
      </c>
      <c r="B103" s="27">
        <f>IF(A103&gt;200,"",IF($C$1='Adj-Mixed'!$A$21,VLOOKUP(A103,'800'!$A$6:$AB$188,2,FALSE),IF($C$1='Adj-Mixed'!$A$20,VLOOKUP(A103,'800'!$A$6:$AB$188,11,FALSE),IF($C$1='Adj-Mixed'!$A$19,VLOOKUP(A103,'800'!$A$6:$AB$188,20,FALSE)))))</f>
        <v>78.347312241507282</v>
      </c>
      <c r="C103" s="25">
        <f t="shared" si="15"/>
        <v>1015.0659830183457</v>
      </c>
      <c r="D103" s="26">
        <f t="shared" si="16"/>
        <v>0.34731223103650283</v>
      </c>
      <c r="E103" s="26">
        <f>IF(A103&gt;200,"",IF($C$1='Adj-Mixed'!$A$21,VLOOKUP(A103,'800'!$A$7:$AB$188,8,FALSE),IF($C$1='Adj-Mixed'!$A$20,VLOOKUP(A103,'800'!$A$7:$AB$188,17,FALSE),IF($C$1='Adj-Mixed'!$A$19,VLOOKUP(A103,'800'!$A$7:$AB$188,26,FALSE)))))</f>
        <v>2.879253624370341</v>
      </c>
      <c r="F103" s="26">
        <f t="shared" si="12"/>
        <v>2.922632410580615</v>
      </c>
      <c r="G103" s="27">
        <f t="shared" si="18"/>
        <v>149.77978918486752</v>
      </c>
      <c r="H103" s="1"/>
      <c r="I103" s="127">
        <f t="shared" si="17"/>
        <v>125.44390082837721</v>
      </c>
      <c r="J103" s="25">
        <f>IF(A103&gt;200,"",C103*'Adj-Barrows'!$C$6)</f>
        <v>1595.3643378456895</v>
      </c>
      <c r="K103" s="26">
        <f>IF(A103&gt;200,"",D103*'Adj-Barrows'!$C$7)</f>
        <v>0.21773076885379999</v>
      </c>
      <c r="L103" s="1">
        <f t="shared" si="13"/>
        <v>4.5928281301917027</v>
      </c>
      <c r="M103" s="26">
        <f t="shared" si="14"/>
        <v>7.3272342087623414</v>
      </c>
      <c r="N103" s="30">
        <f t="shared" si="19"/>
        <v>375.50791236129066</v>
      </c>
    </row>
    <row r="104" spans="1:14" x14ac:dyDescent="0.25">
      <c r="A104" s="25">
        <f t="shared" si="11"/>
        <v>122</v>
      </c>
      <c r="B104" s="27">
        <f>IF(A104&gt;200,"",IF($C$1='Adj-Mixed'!$A$21,VLOOKUP(A104,'800'!$A$6:$AB$188,2,FALSE),IF($C$1='Adj-Mixed'!$A$20,VLOOKUP(A104,'800'!$A$6:$AB$188,11,FALSE),IF($C$1='Adj-Mixed'!$A$19,VLOOKUP(A104,'800'!$A$6:$AB$188,20,FALSE)))))</f>
        <v>79.362381091963044</v>
      </c>
      <c r="C104" s="25">
        <f t="shared" si="15"/>
        <v>1015.0688504557621</v>
      </c>
      <c r="D104" s="26">
        <f t="shared" si="16"/>
        <v>0.34505585357331858</v>
      </c>
      <c r="E104" s="26">
        <f>IF(A104&gt;200,"",IF($C$1='Adj-Mixed'!$A$21,VLOOKUP(A104,'800'!$A$7:$AB$188,8,FALSE),IF($C$1='Adj-Mixed'!$A$20,VLOOKUP(A104,'800'!$A$7:$AB$188,17,FALSE),IF($C$1='Adj-Mixed'!$A$19,VLOOKUP(A104,'800'!$A$7:$AB$188,26,FALSE)))))</f>
        <v>2.8980815414207046</v>
      </c>
      <c r="F104" s="26">
        <f t="shared" si="12"/>
        <v>2.9417522987769775</v>
      </c>
      <c r="G104" s="27">
        <f t="shared" si="18"/>
        <v>152.7215414836445</v>
      </c>
      <c r="H104" s="1"/>
      <c r="I104" s="127">
        <f t="shared" si="17"/>
        <v>127.03926967293229</v>
      </c>
      <c r="J104" s="25">
        <f>IF(A104&gt;200,"",C104*'Adj-Barrows'!$C$6)</f>
        <v>1595.3688445550774</v>
      </c>
      <c r="K104" s="26">
        <f>IF(A104&gt;200,"",D104*'Adj-Barrows'!$C$7)</f>
        <v>0.21631624107164465</v>
      </c>
      <c r="L104" s="1">
        <f t="shared" si="13"/>
        <v>4.622861395177428</v>
      </c>
      <c r="M104" s="26">
        <f t="shared" si="14"/>
        <v>7.3751690425624856</v>
      </c>
      <c r="N104" s="30">
        <f t="shared" si="19"/>
        <v>382.88308140385317</v>
      </c>
    </row>
    <row r="105" spans="1:14" x14ac:dyDescent="0.25">
      <c r="A105" s="25">
        <f t="shared" si="11"/>
        <v>123</v>
      </c>
      <c r="B105" s="27">
        <f>IF(A105&gt;200,"",IF($C$1='Adj-Mixed'!$A$21,VLOOKUP(A105,'800'!$A$6:$AB$188,2,FALSE),IF($C$1='Adj-Mixed'!$A$20,VLOOKUP(A105,'800'!$A$6:$AB$188,11,FALSE),IF($C$1='Adj-Mixed'!$A$19,VLOOKUP(A105,'800'!$A$6:$AB$188,20,FALSE)))))</f>
        <v>80.377320598876082</v>
      </c>
      <c r="C105" s="25">
        <f t="shared" si="15"/>
        <v>1014.9395069130378</v>
      </c>
      <c r="D105" s="26">
        <f t="shared" si="16"/>
        <v>0.34283630942244225</v>
      </c>
      <c r="E105" s="26">
        <f>IF(A105&gt;200,"",IF($C$1='Adj-Mixed'!$A$21,VLOOKUP(A105,'800'!$A$7:$AB$188,8,FALSE),IF($C$1='Adj-Mixed'!$A$20,VLOOKUP(A105,'800'!$A$7:$AB$188,17,FALSE),IF($C$1='Adj-Mixed'!$A$19,VLOOKUP(A105,'800'!$A$7:$AB$188,26,FALSE)))))</f>
        <v>2.916843906308074</v>
      </c>
      <c r="F105" s="26">
        <f t="shared" si="12"/>
        <v>2.9604201160106158</v>
      </c>
      <c r="G105" s="27">
        <f t="shared" si="18"/>
        <v>155.68196159965512</v>
      </c>
      <c r="H105" s="1"/>
      <c r="I105" s="127">
        <f t="shared" si="17"/>
        <v>128.63443523013575</v>
      </c>
      <c r="J105" s="25">
        <f>IF(A105&gt;200,"",C105*'Adj-Barrows'!$C$6)</f>
        <v>1595.1655572034717</v>
      </c>
      <c r="K105" s="26">
        <f>IF(A105&gt;200,"",D105*'Adj-Barrows'!$C$7)</f>
        <v>0.21492480417052248</v>
      </c>
      <c r="L105" s="1">
        <f t="shared" si="13"/>
        <v>4.6527900949328993</v>
      </c>
      <c r="M105" s="26">
        <f t="shared" si="14"/>
        <v>7.421970504334432</v>
      </c>
      <c r="N105" s="30">
        <f t="shared" si="19"/>
        <v>390.30505190818758</v>
      </c>
    </row>
    <row r="106" spans="1:14" x14ac:dyDescent="0.25">
      <c r="A106" s="25">
        <f t="shared" ref="A106:A169" si="20">A105+1</f>
        <v>124</v>
      </c>
      <c r="B106" s="27">
        <f>IF(A106&gt;200,"",IF($C$1='Adj-Mixed'!$A$21,VLOOKUP(A106,'800'!$A$6:$AB$188,2,FALSE),IF($C$1='Adj-Mixed'!$A$20,VLOOKUP(A106,'800'!$A$6:$AB$188,11,FALSE),IF($C$1='Adj-Mixed'!$A$19,VLOOKUP(A106,'800'!$A$6:$AB$188,20,FALSE)))))</f>
        <v>81.392000767565023</v>
      </c>
      <c r="C106" s="25">
        <f t="shared" si="15"/>
        <v>1014.6801686889404</v>
      </c>
      <c r="D106" s="26">
        <f t="shared" si="16"/>
        <v>0.34065198402333102</v>
      </c>
      <c r="E106" s="26">
        <f>IF(A106&gt;200,"",IF($C$1='Adj-Mixed'!$A$21,VLOOKUP(A106,'800'!$A$7:$AB$188,8,FALSE),IF($C$1='Adj-Mixed'!$A$20,VLOOKUP(A106,'800'!$A$7:$AB$188,17,FALSE),IF($C$1='Adj-Mixed'!$A$19,VLOOKUP(A106,'800'!$A$7:$AB$188,26,FALSE)))))</f>
        <v>2.9355472649515253</v>
      </c>
      <c r="F106" s="26">
        <f t="shared" ref="F106:F169" si="21">IF(A106&gt;200,"",(E106*C106)/1000)</f>
        <v>2.9786415939953712</v>
      </c>
      <c r="G106" s="27">
        <f t="shared" si="18"/>
        <v>158.6606031936505</v>
      </c>
      <c r="H106" s="1"/>
      <c r="I106" s="127">
        <f t="shared" si="17"/>
        <v>130.22919318925094</v>
      </c>
      <c r="J106" s="25">
        <f>IF(A106&gt;200,"",C106*'Adj-Barrows'!$C$6)</f>
        <v>1594.7579591151828</v>
      </c>
      <c r="K106" s="26">
        <f>IF(A106&gt;200,"",D106*'Adj-Barrows'!$C$7)</f>
        <v>0.21355544597902998</v>
      </c>
      <c r="L106" s="1">
        <f t="shared" si="13"/>
        <v>4.6826246711507169</v>
      </c>
      <c r="M106" s="26">
        <f t="shared" si="14"/>
        <v>7.4676529638667217</v>
      </c>
      <c r="N106" s="30">
        <f t="shared" si="19"/>
        <v>397.77270487205431</v>
      </c>
    </row>
    <row r="107" spans="1:14" x14ac:dyDescent="0.25">
      <c r="A107" s="25">
        <f t="shared" si="20"/>
        <v>125</v>
      </c>
      <c r="B107" s="27">
        <f>IF(A107&gt;200,"",IF($C$1='Adj-Mixed'!$A$21,VLOOKUP(A107,'800'!$A$6:$AB$188,2,FALSE),IF($C$1='Adj-Mixed'!$A$20,VLOOKUP(A107,'800'!$A$6:$AB$188,11,FALSE),IF($C$1='Adj-Mixed'!$A$19,VLOOKUP(A107,'800'!$A$6:$AB$188,20,FALSE)))))</f>
        <v>82.406293832206515</v>
      </c>
      <c r="C107" s="25">
        <f t="shared" si="15"/>
        <v>1014.2930646414925</v>
      </c>
      <c r="D107" s="26">
        <f t="shared" si="16"/>
        <v>0.33850132870964156</v>
      </c>
      <c r="E107" s="26">
        <f>IF(A107&gt;200,"",IF($C$1='Adj-Mixed'!$A$21,VLOOKUP(A107,'800'!$A$7:$AB$188,8,FALSE),IF($C$1='Adj-Mixed'!$A$20,VLOOKUP(A107,'800'!$A$7:$AB$188,17,FALSE),IF($C$1='Adj-Mixed'!$A$19,VLOOKUP(A107,'800'!$A$7:$AB$188,26,FALSE)))))</f>
        <v>2.9541981528166361</v>
      </c>
      <c r="F107" s="26">
        <f t="shared" si="21"/>
        <v>2.9964226979786224</v>
      </c>
      <c r="G107" s="27">
        <f t="shared" si="18"/>
        <v>161.65702589162913</v>
      </c>
      <c r="H107" s="1"/>
      <c r="I107" s="127">
        <f t="shared" si="17"/>
        <v>131.82334274260467</v>
      </c>
      <c r="J107" s="25">
        <f>IF(A107&gt;200,"",C107*'Adj-Barrows'!$C$6)</f>
        <v>1594.1495533537193</v>
      </c>
      <c r="K107" s="26">
        <f>IF(A107&gt;200,"",D107*'Adj-Barrows'!$C$7)</f>
        <v>0.212207195634976</v>
      </c>
      <c r="L107" s="1">
        <f t="shared" si="13"/>
        <v>4.7123755488486365</v>
      </c>
      <c r="M107" s="26">
        <f t="shared" si="14"/>
        <v>7.5122313764320419</v>
      </c>
      <c r="N107" s="30">
        <f t="shared" si="19"/>
        <v>405.28493624848636</v>
      </c>
    </row>
    <row r="108" spans="1:14" x14ac:dyDescent="0.25">
      <c r="A108" s="25">
        <f t="shared" si="20"/>
        <v>126</v>
      </c>
      <c r="B108" s="27">
        <f>IF(A108&gt;200,"",IF($C$1='Adj-Mixed'!$A$21,VLOOKUP(A108,'800'!$A$6:$AB$188,2,FALSE),IF($C$1='Adj-Mixed'!$A$20,VLOOKUP(A108,'800'!$A$6:$AB$188,11,FALSE),IF($C$1='Adj-Mixed'!$A$19,VLOOKUP(A108,'800'!$A$6:$AB$188,20,FALSE)))))</f>
        <v>83.42007426653214</v>
      </c>
      <c r="C108" s="25">
        <f t="shared" si="15"/>
        <v>1013.7804343256249</v>
      </c>
      <c r="D108" s="26">
        <f t="shared" si="16"/>
        <v>0.33638285836810355</v>
      </c>
      <c r="E108" s="26">
        <f>IF(A108&gt;200,"",IF($C$1='Adj-Mixed'!$A$21,VLOOKUP(A108,'800'!$A$7:$AB$188,8,FALSE),IF($C$1='Adj-Mixed'!$A$20,VLOOKUP(A108,'800'!$A$7:$AB$188,17,FALSE),IF($C$1='Adj-Mixed'!$A$19,VLOOKUP(A108,'800'!$A$7:$AB$188,26,FALSE)))))</f>
        <v>2.9728030876820144</v>
      </c>
      <c r="F108" s="26">
        <f t="shared" si="21"/>
        <v>3.0137696053948315</v>
      </c>
      <c r="G108" s="27">
        <f t="shared" si="18"/>
        <v>164.67079549702396</v>
      </c>
      <c r="H108" s="1"/>
      <c r="I108" s="127">
        <f t="shared" si="17"/>
        <v>133.41668660239944</v>
      </c>
      <c r="J108" s="25">
        <f>IF(A108&gt;200,"",C108*'Adj-Barrows'!$C$6)</f>
        <v>1593.3438597947627</v>
      </c>
      <c r="K108" s="26">
        <f>IF(A108&gt;200,"",D108*'Adj-Barrows'!$C$7)</f>
        <v>0.21087912211772472</v>
      </c>
      <c r="L108" s="1">
        <f t="shared" si="13"/>
        <v>4.7420531248311208</v>
      </c>
      <c r="M108" s="26">
        <f t="shared" si="14"/>
        <v>7.5557212292702332</v>
      </c>
      <c r="N108" s="30">
        <f t="shared" si="19"/>
        <v>412.84065747775662</v>
      </c>
    </row>
    <row r="109" spans="1:14" x14ac:dyDescent="0.25">
      <c r="A109" s="25">
        <f t="shared" si="20"/>
        <v>127</v>
      </c>
      <c r="B109" s="27">
        <f>IF(A109&gt;200,"",IF($C$1='Adj-Mixed'!$A$21,VLOOKUP(A109,'800'!$A$6:$AB$188,2,FALSE),IF($C$1='Adj-Mixed'!$A$20,VLOOKUP(A109,'800'!$A$6:$AB$188,11,FALSE),IF($C$1='Adj-Mixed'!$A$19,VLOOKUP(A109,'800'!$A$6:$AB$188,20,FALSE)))))</f>
        <v>84.433218792710093</v>
      </c>
      <c r="C109" s="25">
        <f t="shared" si="15"/>
        <v>1013.1445261779533</v>
      </c>
      <c r="D109" s="26">
        <f t="shared" si="16"/>
        <v>0.33429514919265085</v>
      </c>
      <c r="E109" s="26">
        <f>IF(A109&gt;200,"",IF($C$1='Adj-Mixed'!$A$21,VLOOKUP(A109,'800'!$A$7:$AB$188,8,FALSE),IF($C$1='Adj-Mixed'!$A$20,VLOOKUP(A109,'800'!$A$7:$AB$188,17,FALSE),IF($C$1='Adj-Mixed'!$A$19,VLOOKUP(A109,'800'!$A$7:$AB$188,26,FALSE)))))</f>
        <v>2.9913685628256315</v>
      </c>
      <c r="F109" s="26">
        <f t="shared" si="21"/>
        <v>3.0306886852075996</v>
      </c>
      <c r="G109" s="27">
        <f t="shared" si="18"/>
        <v>167.70148418223155</v>
      </c>
      <c r="H109" s="1"/>
      <c r="I109" s="127">
        <f t="shared" si="17"/>
        <v>135.00903101467264</v>
      </c>
      <c r="J109" s="25">
        <f>IF(A109&gt;200,"",C109*'Adj-Barrows'!$C$6)</f>
        <v>1592.3444122732094</v>
      </c>
      <c r="K109" s="26">
        <f>IF(A109&gt;200,"",D109*'Adj-Barrows'!$C$7)</f>
        <v>0.20957033284025561</v>
      </c>
      <c r="L109" s="1">
        <f t="shared" si="13"/>
        <v>4.7716677568205572</v>
      </c>
      <c r="M109" s="26">
        <f t="shared" si="14"/>
        <v>7.5981384897974529</v>
      </c>
      <c r="N109" s="30">
        <f t="shared" si="19"/>
        <v>420.43879596755409</v>
      </c>
    </row>
    <row r="110" spans="1:14" x14ac:dyDescent="0.25">
      <c r="A110" s="25">
        <f t="shared" si="20"/>
        <v>128</v>
      </c>
      <c r="B110" s="27">
        <f>IF(A110&gt;200,"",IF($C$1='Adj-Mixed'!$A$21,VLOOKUP(A110,'800'!$A$6:$AB$188,2,FALSE),IF($C$1='Adj-Mixed'!$A$20,VLOOKUP(A110,'800'!$A$6:$AB$188,11,FALSE),IF($C$1='Adj-Mixed'!$A$19,VLOOKUP(A110,'800'!$A$6:$AB$188,20,FALSE)))))</f>
        <v>85.445606388459879</v>
      </c>
      <c r="C110" s="25">
        <f t="shared" si="15"/>
        <v>1012.3875957497859</v>
      </c>
      <c r="D110" s="26">
        <f t="shared" si="16"/>
        <v>0.33223683652837099</v>
      </c>
      <c r="E110" s="26">
        <f>IF(A110&gt;200,"",IF($C$1='Adj-Mixed'!$A$21,VLOOKUP(A110,'800'!$A$7:$AB$188,8,FALSE),IF($C$1='Adj-Mixed'!$A$20,VLOOKUP(A110,'800'!$A$7:$AB$188,17,FALSE),IF($C$1='Adj-Mixed'!$A$19,VLOOKUP(A110,'800'!$A$7:$AB$188,26,FALSE)))))</f>
        <v>3.0099010406228874</v>
      </c>
      <c r="F110" s="26">
        <f t="shared" si="21"/>
        <v>3.0471864779609836</v>
      </c>
      <c r="G110" s="27">
        <f t="shared" si="18"/>
        <v>170.74867066019254</v>
      </c>
      <c r="H110" s="1"/>
      <c r="I110" s="127">
        <f t="shared" si="17"/>
        <v>136.60018577047865</v>
      </c>
      <c r="J110" s="25">
        <f>IF(A110&gt;200,"",C110*'Adj-Barrows'!$C$6)</f>
        <v>1591.1547558060133</v>
      </c>
      <c r="K110" s="26">
        <f>IF(A110&gt;200,"",D110*'Adj-Barrows'!$C$7)</f>
        <v>0.20827997229753095</v>
      </c>
      <c r="L110" s="1">
        <f t="shared" si="13"/>
        <v>4.8012297532452406</v>
      </c>
      <c r="M110" s="26">
        <f t="shared" si="14"/>
        <v>7.6394995555934955</v>
      </c>
      <c r="N110" s="30">
        <f t="shared" si="19"/>
        <v>428.07829552314757</v>
      </c>
    </row>
    <row r="111" spans="1:14" x14ac:dyDescent="0.25">
      <c r="A111" s="25">
        <f t="shared" si="20"/>
        <v>129</v>
      </c>
      <c r="B111" s="27">
        <f>IF(A111&gt;200,"",IF($C$1='Adj-Mixed'!$A$21,VLOOKUP(A111,'800'!$A$6:$AB$188,2,FALSE),IF($C$1='Adj-Mixed'!$A$20,VLOOKUP(A111,'800'!$A$6:$AB$188,11,FALSE),IF($C$1='Adj-Mixed'!$A$19,VLOOKUP(A111,'800'!$A$6:$AB$188,20,FALSE)))))</f>
        <v>86.457118292448797</v>
      </c>
      <c r="C111" s="25">
        <f t="shared" si="15"/>
        <v>1011.511903988918</v>
      </c>
      <c r="D111" s="26">
        <f t="shared" si="16"/>
        <v>0.33020661280006153</v>
      </c>
      <c r="E111" s="26">
        <f>IF(A111&gt;200,"",IF($C$1='Adj-Mixed'!$A$21,VLOOKUP(A111,'800'!$A$7:$AB$188,8,FALSE),IF($C$1='Adj-Mixed'!$A$20,VLOOKUP(A111,'800'!$A$7:$AB$188,17,FALSE),IF($C$1='Adj-Mixed'!$A$19,VLOOKUP(A111,'800'!$A$7:$AB$188,26,FALSE)))))</f>
        <v>3.0284069465486296</v>
      </c>
      <c r="F111" s="26">
        <f t="shared" si="21"/>
        <v>3.0632696765566698</v>
      </c>
      <c r="G111" s="27">
        <f t="shared" si="18"/>
        <v>173.81194033674922</v>
      </c>
      <c r="H111" s="1"/>
      <c r="I111" s="127">
        <f t="shared" si="17"/>
        <v>138.18996421437035</v>
      </c>
      <c r="J111" s="25">
        <f>IF(A111&gt;200,"",C111*'Adj-Barrows'!$C$6)</f>
        <v>1589.7784438917083</v>
      </c>
      <c r="K111" s="26">
        <f>IF(A111&gt;200,"",D111*'Adj-Barrows'!$C$7)</f>
        <v>0.20700722076790345</v>
      </c>
      <c r="L111" s="1">
        <f t="shared" si="13"/>
        <v>4.8307493636717158</v>
      </c>
      <c r="M111" s="26">
        <f t="shared" si="14"/>
        <v>7.6798212062088806</v>
      </c>
      <c r="N111" s="30">
        <f t="shared" si="19"/>
        <v>435.75811672935646</v>
      </c>
    </row>
    <row r="112" spans="1:14" x14ac:dyDescent="0.25">
      <c r="A112" s="25">
        <f t="shared" si="20"/>
        <v>130</v>
      </c>
      <c r="B112" s="27">
        <f>IF(A112&gt;200,"",IF($C$1='Adj-Mixed'!$A$21,VLOOKUP(A112,'800'!$A$6:$AB$188,2,FALSE),IF($C$1='Adj-Mixed'!$A$20,VLOOKUP(A112,'800'!$A$6:$AB$188,11,FALSE),IF($C$1='Adj-Mixed'!$A$19,VLOOKUP(A112,'800'!$A$6:$AB$188,20,FALSE)))))</f>
        <v>87.467638008018625</v>
      </c>
      <c r="C112" s="25">
        <f t="shared" si="15"/>
        <v>1010.5197155698278</v>
      </c>
      <c r="D112" s="26">
        <f t="shared" si="16"/>
        <v>0.32820322552025222</v>
      </c>
      <c r="E112" s="26">
        <f>IF(A112&gt;200,"",IF($C$1='Adj-Mixed'!$A$21,VLOOKUP(A112,'800'!$A$7:$AB$188,8,FALSE),IF($C$1='Adj-Mixed'!$A$20,VLOOKUP(A112,'800'!$A$7:$AB$188,17,FALSE),IF($C$1='Adj-Mixed'!$A$19,VLOOKUP(A112,'800'!$A$7:$AB$188,26,FALSE)))))</f>
        <v>3.0468926635771094</v>
      </c>
      <c r="F112" s="26">
        <f t="shared" si="21"/>
        <v>3.0789451077697354</v>
      </c>
      <c r="G112" s="27">
        <f t="shared" si="18"/>
        <v>176.89088544451894</v>
      </c>
      <c r="H112" s="1"/>
      <c r="I112" s="127">
        <f t="shared" si="17"/>
        <v>139.77818325025635</v>
      </c>
      <c r="J112" s="25">
        <f>IF(A112&gt;200,"",C112*'Adj-Barrows'!$C$6)</f>
        <v>1588.2190358860009</v>
      </c>
      <c r="K112" s="26">
        <f>IF(A112&gt;200,"",D112*'Adj-Barrows'!$C$7)</f>
        <v>0.20575129306434109</v>
      </c>
      <c r="L112" s="1">
        <f t="shared" si="13"/>
        <v>4.8602367698719009</v>
      </c>
      <c r="M112" s="26">
        <f t="shared" si="14"/>
        <v>7.7191205568236416</v>
      </c>
      <c r="N112" s="30">
        <f t="shared" si="19"/>
        <v>443.47723728618013</v>
      </c>
    </row>
    <row r="113" spans="1:14" x14ac:dyDescent="0.25">
      <c r="A113" s="25">
        <f t="shared" si="20"/>
        <v>131</v>
      </c>
      <c r="B113" s="27">
        <f>IF(A113&gt;200,"",IF($C$1='Adj-Mixed'!$A$21,VLOOKUP(A113,'800'!$A$6:$AB$188,2,FALSE),IF($C$1='Adj-Mixed'!$A$20,VLOOKUP(A113,'800'!$A$6:$AB$188,11,FALSE),IF($C$1='Adj-Mixed'!$A$19,VLOOKUP(A113,'800'!$A$6:$AB$188,20,FALSE)))))</f>
        <v>88.477051305291624</v>
      </c>
      <c r="C113" s="25">
        <f t="shared" si="15"/>
        <v>1009.4132972729994</v>
      </c>
      <c r="D113" s="26">
        <f t="shared" si="16"/>
        <v>0.32622547537229279</v>
      </c>
      <c r="E113" s="26">
        <f>IF(A113&gt;200,"",IF($C$1='Adj-Mixed'!$A$21,VLOOKUP(A113,'800'!$A$7:$AB$188,8,FALSE),IF($C$1='Adj-Mixed'!$A$20,VLOOKUP(A113,'800'!$A$7:$AB$188,17,FALSE),IF($C$1='Adj-Mixed'!$A$19,VLOOKUP(A113,'800'!$A$7:$AB$188,26,FALSE)))))</f>
        <v>3.0653645269695349</v>
      </c>
      <c r="F113" s="26">
        <f t="shared" si="21"/>
        <v>3.0942197145120063</v>
      </c>
      <c r="G113" s="27">
        <f t="shared" si="18"/>
        <v>179.98510515903095</v>
      </c>
      <c r="H113" s="1"/>
      <c r="I113" s="127">
        <f t="shared" si="17"/>
        <v>141.36466334471092</v>
      </c>
      <c r="J113" s="25">
        <f>IF(A113&gt;200,"",C113*'Adj-Barrows'!$C$6)</f>
        <v>1586.4800944545766</v>
      </c>
      <c r="K113" s="26">
        <f>IF(A113&gt;200,"",D113*'Adj-Barrows'!$C$7)</f>
        <v>0.20451143733271077</v>
      </c>
      <c r="L113" s="1">
        <f t="shared" si="13"/>
        <v>4.8897020775084741</v>
      </c>
      <c r="M113" s="26">
        <f t="shared" si="14"/>
        <v>7.757415013780383</v>
      </c>
      <c r="N113" s="30">
        <f t="shared" si="19"/>
        <v>451.23465229996049</v>
      </c>
    </row>
    <row r="114" spans="1:14" x14ac:dyDescent="0.25">
      <c r="A114" s="25">
        <f t="shared" si="20"/>
        <v>132</v>
      </c>
      <c r="B114" s="27">
        <f>IF(A114&gt;200,"",IF($C$1='Adj-Mixed'!$A$21,VLOOKUP(A114,'800'!$A$6:$AB$188,2,FALSE),IF($C$1='Adj-Mixed'!$A$20,VLOOKUP(A114,'800'!$A$6:$AB$188,11,FALSE),IF($C$1='Adj-Mixed'!$A$19,VLOOKUP(A114,'800'!$A$6:$AB$188,20,FALSE)))))</f>
        <v>89.485246221705751</v>
      </c>
      <c r="C114" s="25">
        <f t="shared" si="15"/>
        <v>1008.1949164141264</v>
      </c>
      <c r="D114" s="26">
        <f t="shared" si="16"/>
        <v>0.32427221436444775</v>
      </c>
      <c r="E114" s="26">
        <f>IF(A114&gt;200,"",IF($C$1='Adj-Mixed'!$A$21,VLOOKUP(A114,'800'!$A$7:$AB$188,8,FALSE),IF($C$1='Adj-Mixed'!$A$20,VLOOKUP(A114,'800'!$A$7:$AB$188,17,FALSE),IF($C$1='Adj-Mixed'!$A$19,VLOOKUP(A114,'800'!$A$7:$AB$188,26,FALSE)))))</f>
        <v>3.0838288194378118</v>
      </c>
      <c r="F114" s="26">
        <f t="shared" si="21"/>
        <v>3.1091005388485788</v>
      </c>
      <c r="G114" s="27">
        <f t="shared" si="18"/>
        <v>183.09420569787952</v>
      </c>
      <c r="H114" s="1"/>
      <c r="I114" s="127">
        <f t="shared" si="17"/>
        <v>142.94922852781522</v>
      </c>
      <c r="J114" s="25">
        <f>IF(A114&gt;200,"",C114*'Adj-Barrows'!$C$6)</f>
        <v>1584.5651831043017</v>
      </c>
      <c r="K114" s="26">
        <f>IF(A114&gt;200,"",D114*'Adj-Barrows'!$C$7)</f>
        <v>0.20328693389457658</v>
      </c>
      <c r="L114" s="1">
        <f t="shared" si="13"/>
        <v>4.9191553084203345</v>
      </c>
      <c r="M114" s="26">
        <f t="shared" si="14"/>
        <v>7.7947222320055651</v>
      </c>
      <c r="N114" s="30">
        <f t="shared" si="19"/>
        <v>459.02937453196603</v>
      </c>
    </row>
    <row r="115" spans="1:14" x14ac:dyDescent="0.25">
      <c r="A115" s="25">
        <f t="shared" si="20"/>
        <v>133</v>
      </c>
      <c r="B115" s="27">
        <f>IF(A115&gt;200,"",IF($C$1='Adj-Mixed'!$A$21,VLOOKUP(A115,'800'!$A$6:$AB$188,2,FALSE),IF($C$1='Adj-Mixed'!$A$20,VLOOKUP(A115,'800'!$A$6:$AB$188,11,FALSE),IF($C$1='Adj-Mixed'!$A$19,VLOOKUP(A115,'800'!$A$6:$AB$188,20,FALSE)))))</f>
        <v>90.492113061027752</v>
      </c>
      <c r="C115" s="25">
        <f t="shared" si="15"/>
        <v>1006.8668393220008</v>
      </c>
      <c r="D115" s="26">
        <f t="shared" si="16"/>
        <v>0.32234234405062689</v>
      </c>
      <c r="E115" s="26">
        <f>IF(A115&gt;200,"",IF($C$1='Adj-Mixed'!$A$21,VLOOKUP(A115,'800'!$A$7:$AB$188,8,FALSE),IF($C$1='Adj-Mixed'!$A$20,VLOOKUP(A115,'800'!$A$7:$AB$188,17,FALSE),IF($C$1='Adj-Mixed'!$A$19,VLOOKUP(A115,'800'!$A$7:$AB$188,26,FALSE)))))</f>
        <v>3.1022917666781642</v>
      </c>
      <c r="F115" s="26">
        <f t="shared" si="21"/>
        <v>3.1235947057699089</v>
      </c>
      <c r="G115" s="27">
        <f t="shared" si="18"/>
        <v>186.21780040364942</v>
      </c>
      <c r="H115" s="1"/>
      <c r="I115" s="127">
        <f t="shared" si="17"/>
        <v>144.53170639160618</v>
      </c>
      <c r="J115" s="25">
        <f>IF(A115&gt;200,"",C115*'Adj-Barrows'!$C$6)</f>
        <v>1582.4778637909437</v>
      </c>
      <c r="K115" s="26">
        <f>IF(A115&gt;200,"",D115*'Adj-Barrows'!$C$7)</f>
        <v>0.20207709413177197</v>
      </c>
      <c r="L115" s="1">
        <f t="shared" si="13"/>
        <v>4.9486063934980793</v>
      </c>
      <c r="M115" s="26">
        <f t="shared" si="14"/>
        <v>7.8310600743250474</v>
      </c>
      <c r="N115" s="30">
        <f t="shared" si="19"/>
        <v>466.86043460629105</v>
      </c>
    </row>
    <row r="116" spans="1:14" x14ac:dyDescent="0.25">
      <c r="A116" s="25">
        <f t="shared" si="20"/>
        <v>134</v>
      </c>
      <c r="B116" s="27">
        <f>IF(A116&gt;200,"",IF($C$1='Adj-Mixed'!$A$21,VLOOKUP(A116,'800'!$A$6:$AB$188,2,FALSE),IF($C$1='Adj-Mixed'!$A$20,VLOOKUP(A116,'800'!$A$6:$AB$188,11,FALSE),IF($C$1='Adj-Mixed'!$A$19,VLOOKUP(A116,'800'!$A$6:$AB$188,20,FALSE)))))</f>
        <v>91.497544390894504</v>
      </c>
      <c r="C116" s="25">
        <f t="shared" si="15"/>
        <v>1005.4313298667523</v>
      </c>
      <c r="D116" s="26">
        <f t="shared" si="16"/>
        <v>0.3204348138146193</v>
      </c>
      <c r="E116" s="26">
        <f>IF(A116&gt;200,"",IF($C$1='Adj-Mixed'!$A$21,VLOOKUP(A116,'800'!$A$7:$AB$188,8,FALSE),IF($C$1='Adj-Mixed'!$A$20,VLOOKUP(A116,'800'!$A$7:$AB$188,17,FALSE),IF($C$1='Adj-Mixed'!$A$19,VLOOKUP(A116,'800'!$A$7:$AB$188,26,FALSE)))))</f>
        <v>3.1207595332588567</v>
      </c>
      <c r="F116" s="26">
        <f t="shared" si="21"/>
        <v>3.1377094077187975</v>
      </c>
      <c r="G116" s="27">
        <f t="shared" si="18"/>
        <v>189.35550981136822</v>
      </c>
      <c r="H116" s="1"/>
      <c r="I116" s="127">
        <f t="shared" si="17"/>
        <v>146.1119280862122</v>
      </c>
      <c r="J116" s="25">
        <f>IF(A116&gt;200,"",C116*'Adj-Barrows'!$C$6)</f>
        <v>1580.2216946060264</v>
      </c>
      <c r="K116" s="26">
        <f>IF(A116&gt;200,"",D116*'Adj-Barrows'!$C$7)</f>
        <v>0.20088125941078241</v>
      </c>
      <c r="L116" s="1">
        <f t="shared" si="13"/>
        <v>4.978065166124324</v>
      </c>
      <c r="M116" s="26">
        <f t="shared" si="14"/>
        <v>7.866446572672209</v>
      </c>
      <c r="N116" s="30">
        <f t="shared" si="19"/>
        <v>474.72688117896325</v>
      </c>
    </row>
    <row r="117" spans="1:14" x14ac:dyDescent="0.25">
      <c r="A117" s="25">
        <f t="shared" si="20"/>
        <v>135</v>
      </c>
      <c r="B117" s="27">
        <f>IF(A117&gt;200,"",IF($C$1='Adj-Mixed'!$A$21,VLOOKUP(A117,'800'!$A$6:$AB$188,2,FALSE),IF($C$1='Adj-Mixed'!$A$20,VLOOKUP(A117,'800'!$A$6:$AB$188,11,FALSE),IF($C$1='Adj-Mixed'!$A$19,VLOOKUP(A117,'800'!$A$6:$AB$188,20,FALSE)))))</f>
        <v>92.501435038931021</v>
      </c>
      <c r="C117" s="25">
        <f t="shared" si="15"/>
        <v>1003.8906480365171</v>
      </c>
      <c r="D117" s="26">
        <f t="shared" si="16"/>
        <v>0.31854861921381455</v>
      </c>
      <c r="E117" s="26">
        <f>IF(A117&gt;200,"",IF($C$1='Adj-Mixed'!$A$21,VLOOKUP(A117,'800'!$A$7:$AB$188,8,FALSE),IF($C$1='Adj-Mixed'!$A$20,VLOOKUP(A117,'800'!$A$7:$AB$188,17,FALSE),IF($C$1='Adj-Mixed'!$A$19,VLOOKUP(A117,'800'!$A$7:$AB$188,26,FALSE)))))</f>
        <v>3.1392382188565859</v>
      </c>
      <c r="F117" s="26">
        <f t="shared" si="21"/>
        <v>3.1514518898689396</v>
      </c>
      <c r="G117" s="27">
        <f t="shared" si="18"/>
        <v>192.50696170123717</v>
      </c>
      <c r="H117" s="1"/>
      <c r="I117" s="127">
        <f t="shared" si="17"/>
        <v>147.689728313752</v>
      </c>
      <c r="J117" s="25">
        <f>IF(A117&gt;200,"",C117*'Adj-Barrows'!$C$6)</f>
        <v>1577.8002275398014</v>
      </c>
      <c r="K117" s="26">
        <f>IF(A117&gt;200,"",D117*'Adj-Barrows'!$C$7)</f>
        <v>0.19969880004442067</v>
      </c>
      <c r="L117" s="1">
        <f t="shared" si="13"/>
        <v>5.0075413561702007</v>
      </c>
      <c r="M117" s="26">
        <f t="shared" si="14"/>
        <v>7.900899891180309</v>
      </c>
      <c r="N117" s="30">
        <f t="shared" si="19"/>
        <v>482.62778107014356</v>
      </c>
    </row>
    <row r="118" spans="1:14" x14ac:dyDescent="0.25">
      <c r="A118" s="25">
        <f t="shared" si="20"/>
        <v>136</v>
      </c>
      <c r="B118" s="27">
        <f>IF(A118&gt;200,"",IF($C$1='Adj-Mixed'!$A$21,VLOOKUP(A118,'800'!$A$6:$AB$188,2,FALSE),IF($C$1='Adj-Mixed'!$A$20,VLOOKUP(A118,'800'!$A$6:$AB$188,11,FALSE),IF($C$1='Adj-Mixed'!$A$19,VLOOKUP(A118,'800'!$A$6:$AB$188,20,FALSE)))))</f>
        <v>93.50368208749542</v>
      </c>
      <c r="C118" s="25">
        <f t="shared" si="15"/>
        <v>1002.2470485643993</v>
      </c>
      <c r="D118" s="26">
        <f t="shared" si="16"/>
        <v>0.31668280037988455</v>
      </c>
      <c r="E118" s="26">
        <f>IF(A118&gt;200,"",IF($C$1='Adj-Mixed'!$A$21,VLOOKUP(A118,'800'!$A$7:$AB$188,8,FALSE),IF($C$1='Adj-Mixed'!$A$20,VLOOKUP(A118,'800'!$A$7:$AB$188,17,FALSE),IF($C$1='Adj-Mixed'!$A$19,VLOOKUP(A118,'800'!$A$7:$AB$188,26,FALSE)))))</f>
        <v>3.1577338548238982</v>
      </c>
      <c r="F118" s="26">
        <f t="shared" si="21"/>
        <v>3.1648294361491351</v>
      </c>
      <c r="G118" s="27">
        <f t="shared" si="18"/>
        <v>195.67179113738632</v>
      </c>
      <c r="H118" s="1"/>
      <c r="I118" s="127">
        <f t="shared" si="17"/>
        <v>149.26494532007527</v>
      </c>
      <c r="J118" s="25">
        <f>IF(A118&gt;200,"",C118*'Adj-Barrows'!$C$6)</f>
        <v>1575.2170063232638</v>
      </c>
      <c r="K118" s="26">
        <f>IF(A118&gt;200,"",D118*'Adj-Barrows'!$C$7)</f>
        <v>0.19852911428921102</v>
      </c>
      <c r="L118" s="1">
        <f t="shared" si="13"/>
        <v>5.0370445845198866</v>
      </c>
      <c r="M118" s="26">
        <f t="shared" si="14"/>
        <v>7.9344382911442235</v>
      </c>
      <c r="N118" s="30">
        <f t="shared" si="19"/>
        <v>490.56221936128776</v>
      </c>
    </row>
    <row r="119" spans="1:14" x14ac:dyDescent="0.25">
      <c r="A119" s="25">
        <f t="shared" si="20"/>
        <v>137</v>
      </c>
      <c r="B119" s="27">
        <f>IF(A119&gt;200,"",IF($C$1='Adj-Mixed'!$A$21,VLOOKUP(A119,'800'!$A$6:$AB$188,2,FALSE),IF($C$1='Adj-Mixed'!$A$20,VLOOKUP(A119,'800'!$A$6:$AB$188,11,FALSE),IF($C$1='Adj-Mixed'!$A$19,VLOOKUP(A119,'800'!$A$6:$AB$188,20,FALSE)))))</f>
        <v>94.504184867099525</v>
      </c>
      <c r="C119" s="25">
        <f t="shared" si="15"/>
        <v>1000.5027796041048</v>
      </c>
      <c r="D119" s="26">
        <f t="shared" si="16"/>
        <v>0.31483644047303033</v>
      </c>
      <c r="E119" s="26">
        <f>IF(A119&gt;200,"",IF($C$1='Adj-Mixed'!$A$21,VLOOKUP(A119,'800'!$A$7:$AB$188,8,FALSE),IF($C$1='Adj-Mixed'!$A$20,VLOOKUP(A119,'800'!$A$7:$AB$188,17,FALSE),IF($C$1='Adj-Mixed'!$A$19,VLOOKUP(A119,'800'!$A$7:$AB$188,26,FALSE)))))</f>
        <v>3.1762524010801809</v>
      </c>
      <c r="F119" s="26">
        <f t="shared" si="21"/>
        <v>3.1778493560049328</v>
      </c>
      <c r="G119" s="27">
        <f t="shared" si="18"/>
        <v>198.84964049339126</v>
      </c>
      <c r="H119" s="1"/>
      <c r="I119" s="127">
        <f t="shared" si="17"/>
        <v>150.83742088442193</v>
      </c>
      <c r="J119" s="25">
        <f>IF(A119&gt;200,"",C119*'Adj-Barrows'!$C$6)</f>
        <v>1572.475564346664</v>
      </c>
      <c r="K119" s="26">
        <f>IF(A119&gt;200,"",D119*'Adj-Barrows'!$C$7)</f>
        <v>0.19737162737635322</v>
      </c>
      <c r="L119" s="1">
        <f t="shared" si="13"/>
        <v>5.0665843581112835</v>
      </c>
      <c r="M119" s="26">
        <f t="shared" si="14"/>
        <v>7.9670800978310208</v>
      </c>
      <c r="N119" s="30">
        <f t="shared" si="19"/>
        <v>498.52929945911876</v>
      </c>
    </row>
    <row r="120" spans="1:14" x14ac:dyDescent="0.25">
      <c r="A120" s="25">
        <f t="shared" si="20"/>
        <v>138</v>
      </c>
      <c r="B120" s="27">
        <f>IF(A120&gt;200,"",IF($C$1='Adj-Mixed'!$A$21,VLOOKUP(A120,'800'!$A$6:$AB$188,2,FALSE),IF($C$1='Adj-Mixed'!$A$20,VLOOKUP(A120,'800'!$A$6:$AB$188,11,FALSE),IF($C$1='Adj-Mixed'!$A$19,VLOOKUP(A120,'800'!$A$6:$AB$188,20,FALSE)))))</f>
        <v>95.502844948554099</v>
      </c>
      <c r="C120" s="25">
        <f t="shared" si="15"/>
        <v>998.66008145457386</v>
      </c>
      <c r="D120" s="26">
        <f t="shared" si="16"/>
        <v>0.31300866418725243</v>
      </c>
      <c r="E120" s="26">
        <f>IF(A120&gt;200,"",IF($C$1='Adj-Mixed'!$A$21,VLOOKUP(A120,'800'!$A$7:$AB$188,8,FALSE),IF($C$1='Adj-Mixed'!$A$20,VLOOKUP(A120,'800'!$A$7:$AB$188,17,FALSE),IF($C$1='Adj-Mixed'!$A$19,VLOOKUP(A120,'800'!$A$7:$AB$188,26,FALSE)))))</f>
        <v>3.1947997433124278</v>
      </c>
      <c r="F120" s="26">
        <f t="shared" si="21"/>
        <v>3.1905189718874407</v>
      </c>
      <c r="G120" s="27">
        <f t="shared" si="18"/>
        <v>202.04015946527869</v>
      </c>
      <c r="H120" s="1"/>
      <c r="I120" s="127">
        <f t="shared" si="17"/>
        <v>152.40700030707697</v>
      </c>
      <c r="J120" s="25">
        <f>IF(A120&gt;200,"",C120*'Adj-Barrows'!$C$6)</f>
        <v>1569.5794226550329</v>
      </c>
      <c r="K120" s="26">
        <f>IF(A120&gt;200,"",D120*'Adj-Barrows'!$C$7)</f>
        <v>0.19622579057467335</v>
      </c>
      <c r="L120" s="1">
        <f t="shared" si="13"/>
        <v>5.0961700654708375</v>
      </c>
      <c r="M120" s="26">
        <f t="shared" si="14"/>
        <v>7.9988436691135787</v>
      </c>
      <c r="N120" s="30">
        <f t="shared" si="19"/>
        <v>506.52814312823233</v>
      </c>
    </row>
    <row r="121" spans="1:14" x14ac:dyDescent="0.25">
      <c r="A121" s="25">
        <f t="shared" si="20"/>
        <v>139</v>
      </c>
      <c r="B121" s="27">
        <f>IF(A121&gt;200,"",IF($C$1='Adj-Mixed'!$A$21,VLOOKUP(A121,'800'!$A$6:$AB$188,2,FALSE),IF($C$1='Adj-Mixed'!$A$20,VLOOKUP(A121,'800'!$A$6:$AB$188,11,FALSE),IF($C$1='Adj-Mixed'!$A$19,VLOOKUP(A121,'800'!$A$6:$AB$188,20,FALSE)))))</f>
        <v>96.499566133887271</v>
      </c>
      <c r="C121" s="25">
        <f t="shared" si="15"/>
        <v>996.72118533317189</v>
      </c>
      <c r="D121" s="26">
        <f t="shared" si="16"/>
        <v>0.31119863630408356</v>
      </c>
      <c r="E121" s="26">
        <f>IF(A121&gt;200,"",IF($C$1='Adj-Mixed'!$A$21,VLOOKUP(A121,'800'!$A$7:$AB$188,8,FALSE),IF($C$1='Adj-Mixed'!$A$20,VLOOKUP(A121,'800'!$A$7:$AB$188,17,FALSE),IF($C$1='Adj-Mixed'!$A$19,VLOOKUP(A121,'800'!$A$7:$AB$188,26,FALSE)))))</f>
        <v>3.2133816904739372</v>
      </c>
      <c r="F121" s="26">
        <f t="shared" si="21"/>
        <v>3.2028456074570943</v>
      </c>
      <c r="G121" s="27">
        <f t="shared" si="18"/>
        <v>205.2430050727358</v>
      </c>
      <c r="H121" s="1"/>
      <c r="I121" s="127">
        <f t="shared" si="17"/>
        <v>153.97353239509698</v>
      </c>
      <c r="J121" s="25">
        <f>IF(A121&gt;200,"",C121*'Adj-Barrows'!$C$6)</f>
        <v>1566.5320880200231</v>
      </c>
      <c r="K121" s="26">
        <f>IF(A121&gt;200,"",D121*'Adj-Barrows'!$C$7)</f>
        <v>0.19509108028395583</v>
      </c>
      <c r="L121" s="1">
        <f t="shared" si="13"/>
        <v>5.1258109727235919</v>
      </c>
      <c r="M121" s="26">
        <f t="shared" si="14"/>
        <v>8.0297473658966343</v>
      </c>
      <c r="N121" s="30">
        <f t="shared" si="19"/>
        <v>514.55789049412897</v>
      </c>
    </row>
    <row r="122" spans="1:14" x14ac:dyDescent="0.25">
      <c r="A122" s="25">
        <f t="shared" si="20"/>
        <v>140</v>
      </c>
      <c r="B122" s="27">
        <f>IF(A122&gt;200,"",IF($C$1='Adj-Mixed'!$A$21,VLOOKUP(A122,'800'!$A$6:$AB$188,2,FALSE),IF($C$1='Adj-Mixed'!$A$20,VLOOKUP(A122,'800'!$A$6:$AB$188,11,FALSE),IF($C$1='Adj-Mixed'!$A$19,VLOOKUP(A122,'800'!$A$6:$AB$188,20,FALSE)))))</f>
        <v>97.494254446084355</v>
      </c>
      <c r="C122" s="25">
        <f t="shared" si="15"/>
        <v>994.6883121970842</v>
      </c>
      <c r="D122" s="26">
        <f t="shared" si="16"/>
        <v>0.30940556029244565</v>
      </c>
      <c r="E122" s="26">
        <f>IF(A122&gt;200,"",IF($C$1='Adj-Mixed'!$A$21,VLOOKUP(A122,'800'!$A$7:$AB$188,8,FALSE),IF($C$1='Adj-Mixed'!$A$20,VLOOKUP(A122,'800'!$A$7:$AB$188,17,FALSE),IF($C$1='Adj-Mixed'!$A$19,VLOOKUP(A122,'800'!$A$7:$AB$188,26,FALSE)))))</f>
        <v>3.2320039725686072</v>
      </c>
      <c r="F122" s="26">
        <f t="shared" si="21"/>
        <v>3.2148365764885387</v>
      </c>
      <c r="G122" s="27">
        <f t="shared" si="18"/>
        <v>208.45784164922435</v>
      </c>
      <c r="H122" s="1"/>
      <c r="I122" s="127">
        <f t="shared" si="17"/>
        <v>155.53686944618448</v>
      </c>
      <c r="J122" s="25">
        <f>IF(A122&gt;200,"",C122*'Adj-Barrows'!$C$6)</f>
        <v>1563.3370510875125</v>
      </c>
      <c r="K122" s="26">
        <f>IF(A122&gt;200,"",D122*'Adj-Barrows'!$C$7)</f>
        <v>0.19396699715719087</v>
      </c>
      <c r="L122" s="1">
        <f t="shared" si="13"/>
        <v>5.1555162200588169</v>
      </c>
      <c r="M122" s="26">
        <f t="shared" si="14"/>
        <v>8.0598095243005901</v>
      </c>
      <c r="N122" s="30">
        <f t="shared" si="19"/>
        <v>522.61770001842956</v>
      </c>
    </row>
    <row r="123" spans="1:14" x14ac:dyDescent="0.25">
      <c r="A123" s="25">
        <f t="shared" si="20"/>
        <v>141</v>
      </c>
      <c r="B123" s="27">
        <f>IF(A123&gt;200,"",IF($C$1='Adj-Mixed'!$A$21,VLOOKUP(A123,'800'!$A$6:$AB$188,2,FALSE),IF($C$1='Adj-Mixed'!$A$20,VLOOKUP(A123,'800'!$A$6:$AB$188,11,FALSE),IF($C$1='Adj-Mixed'!$A$19,VLOOKUP(A123,'800'!$A$6:$AB$188,20,FALSE)))))</f>
        <v>98.486818117697439</v>
      </c>
      <c r="C123" s="25">
        <f t="shared" si="15"/>
        <v>992.5636716130839</v>
      </c>
      <c r="D123" s="26">
        <f t="shared" si="16"/>
        <v>0.30762867695265217</v>
      </c>
      <c r="E123" s="26">
        <f>IF(A123&gt;200,"",IF($C$1='Adj-Mixed'!$A$21,VLOOKUP(A123,'800'!$A$7:$AB$188,8,FALSE),IF($C$1='Adj-Mixed'!$A$20,VLOOKUP(A123,'800'!$A$7:$AB$188,17,FALSE),IF($C$1='Adj-Mixed'!$A$19,VLOOKUP(A123,'800'!$A$7:$AB$188,26,FALSE)))))</f>
        <v>3.2506722387065112</v>
      </c>
      <c r="F123" s="26">
        <f t="shared" si="21"/>
        <v>3.2264991724612577</v>
      </c>
      <c r="G123" s="27">
        <f t="shared" si="18"/>
        <v>211.68434082168559</v>
      </c>
      <c r="H123" s="1"/>
      <c r="I123" s="127">
        <f t="shared" si="17"/>
        <v>157.0968672307857</v>
      </c>
      <c r="J123" s="25">
        <f>IF(A123&gt;200,"",C123*'Adj-Barrows'!$C$6)</f>
        <v>1559.9977846012348</v>
      </c>
      <c r="K123" s="26">
        <f>IF(A123&gt;200,"",D123*'Adj-Barrows'!$C$7)</f>
        <v>0.19285306525049659</v>
      </c>
      <c r="L123" s="1">
        <f t="shared" si="13"/>
        <v>5.1852948186283756</v>
      </c>
      <c r="M123" s="26">
        <f t="shared" si="14"/>
        <v>8.089048429564528</v>
      </c>
      <c r="N123" s="30">
        <f t="shared" si="19"/>
        <v>530.70674844799407</v>
      </c>
    </row>
    <row r="124" spans="1:14" x14ac:dyDescent="0.25">
      <c r="A124" s="25">
        <f t="shared" si="20"/>
        <v>142</v>
      </c>
      <c r="B124" s="27">
        <f>IF(A124&gt;200,"",IF($C$1='Adj-Mixed'!$A$21,VLOOKUP(A124,'800'!$A$6:$AB$188,2,FALSE),IF($C$1='Adj-Mixed'!$A$20,VLOOKUP(A124,'800'!$A$6:$AB$188,11,FALSE),IF($C$1='Adj-Mixed'!$A$19,VLOOKUP(A124,'800'!$A$6:$AB$188,20,FALSE)))))</f>
        <v>99.477167578370711</v>
      </c>
      <c r="C124" s="25">
        <f t="shared" si="15"/>
        <v>990.34946067327212</v>
      </c>
      <c r="D124" s="26">
        <f t="shared" si="16"/>
        <v>0.30586726310195134</v>
      </c>
      <c r="E124" s="26">
        <f>IF(A124&gt;200,"",IF($C$1='Adj-Mixed'!$A$21,VLOOKUP(A124,'800'!$A$7:$AB$188,8,FALSE),IF($C$1='Adj-Mixed'!$A$20,VLOOKUP(A124,'800'!$A$7:$AB$188,17,FALSE),IF($C$1='Adj-Mixed'!$A$19,VLOOKUP(A124,'800'!$A$7:$AB$188,26,FALSE)))))</f>
        <v>3.2693920554246474</v>
      </c>
      <c r="F124" s="26">
        <f t="shared" si="21"/>
        <v>3.2378406588192803</v>
      </c>
      <c r="G124" s="27">
        <f t="shared" si="18"/>
        <v>214.92218148050489</v>
      </c>
      <c r="H124" s="1"/>
      <c r="I124" s="127">
        <f t="shared" si="17"/>
        <v>158.65338497248436</v>
      </c>
      <c r="J124" s="25">
        <f>IF(A124&gt;200,"",C124*'Adj-Barrows'!$C$6)</f>
        <v>1556.5177416986646</v>
      </c>
      <c r="K124" s="26">
        <f>IF(A124&gt;200,"",D124*'Adj-Barrows'!$C$7)</f>
        <v>0.19174883119908329</v>
      </c>
      <c r="L124" s="1">
        <f t="shared" si="13"/>
        <v>5.2151556478680678</v>
      </c>
      <c r="M124" s="26">
        <f t="shared" si="14"/>
        <v>8.1174822916266418</v>
      </c>
      <c r="N124" s="30">
        <f t="shared" si="19"/>
        <v>538.8242307396207</v>
      </c>
    </row>
    <row r="125" spans="1:14" x14ac:dyDescent="0.25">
      <c r="A125" s="25">
        <f t="shared" si="20"/>
        <v>143</v>
      </c>
      <c r="B125" s="27">
        <f>IF(A125&gt;200,"",IF($C$1='Adj-Mixed'!$A$21,VLOOKUP(A125,'800'!$A$6:$AB$188,2,FALSE),IF($C$1='Adj-Mixed'!$A$20,VLOOKUP(A125,'800'!$A$6:$AB$188,11,FALSE),IF($C$1='Adj-Mixed'!$A$19,VLOOKUP(A125,'800'!$A$6:$AB$188,20,FALSE)))))</f>
        <v>100.46521544133024</v>
      </c>
      <c r="C125" s="25">
        <f t="shared" si="15"/>
        <v>988.04786295953306</v>
      </c>
      <c r="D125" s="26">
        <f t="shared" si="16"/>
        <v>0.30412063030076936</v>
      </c>
      <c r="E125" s="26">
        <f>IF(A125&gt;200,"",IF($C$1='Adj-Mixed'!$A$21,VLOOKUP(A125,'800'!$A$7:$AB$188,8,FALSE),IF($C$1='Adj-Mixed'!$A$20,VLOOKUP(A125,'800'!$A$7:$AB$188,17,FALSE),IF($C$1='Adj-Mixed'!$A$19,VLOOKUP(A125,'800'!$A$7:$AB$188,26,FALSE)))))</f>
        <v>3.2881689052499317</v>
      </c>
      <c r="F125" s="26">
        <f t="shared" si="21"/>
        <v>3.2488682598821823</v>
      </c>
      <c r="G125" s="27">
        <f t="shared" si="18"/>
        <v>218.17104974038708</v>
      </c>
      <c r="H125" s="1"/>
      <c r="I125" s="127">
        <f t="shared" si="17"/>
        <v>160.20628532676784</v>
      </c>
      <c r="J125" s="25">
        <f>IF(A125&gt;200,"",C125*'Adj-Barrows'!$C$6)</f>
        <v>1552.9003542834662</v>
      </c>
      <c r="K125" s="26">
        <f>IF(A125&gt;200,"",D125*'Adj-Barrows'!$C$7)</f>
        <v>0.19065386341873281</v>
      </c>
      <c r="L125" s="1">
        <f t="shared" si="13"/>
        <v>5.2451074532054012</v>
      </c>
      <c r="M125" s="26">
        <f t="shared" si="14"/>
        <v>8.1451292223375162</v>
      </c>
      <c r="N125" s="30">
        <f t="shared" si="19"/>
        <v>546.96935996195816</v>
      </c>
    </row>
    <row r="126" spans="1:14" x14ac:dyDescent="0.25">
      <c r="A126" s="25">
        <f t="shared" si="20"/>
        <v>144</v>
      </c>
      <c r="B126" s="27">
        <f>IF(A126&gt;200,"",IF($C$1='Adj-Mixed'!$A$21,VLOOKUP(A126,'800'!$A$6:$AB$188,2,FALSE),IF($C$1='Adj-Mixed'!$A$20,VLOOKUP(A126,'800'!$A$6:$AB$188,11,FALSE),IF($C$1='Adj-Mixed'!$A$19,VLOOKUP(A126,'800'!$A$6:$AB$188,20,FALSE)))))</f>
        <v>101.45087648888261</v>
      </c>
      <c r="C126" s="25">
        <f t="shared" si="15"/>
        <v>985.6610475523695</v>
      </c>
      <c r="D126" s="26">
        <f t="shared" si="16"/>
        <v>0.3023881236167697</v>
      </c>
      <c r="E126" s="26">
        <f>IF(A126&gt;200,"",IF($C$1='Adj-Mixed'!$A$21,VLOOKUP(A126,'800'!$A$7:$AB$188,8,FALSE),IF($C$1='Adj-Mixed'!$A$20,VLOOKUP(A126,'800'!$A$7:$AB$188,17,FALSE),IF($C$1='Adj-Mixed'!$A$19,VLOOKUP(A126,'800'!$A$7:$AB$188,26,FALSE)))))</f>
        <v>3.3070081855044866</v>
      </c>
      <c r="F126" s="26">
        <f t="shared" si="21"/>
        <v>3.2595891523886129</v>
      </c>
      <c r="G126" s="27">
        <f t="shared" si="18"/>
        <v>221.43063889277568</v>
      </c>
      <c r="H126" s="1"/>
      <c r="I126" s="127">
        <f t="shared" si="17"/>
        <v>161.75543435823553</v>
      </c>
      <c r="J126" s="25">
        <f>IF(A126&gt;200,"",C126*'Adj-Barrows'!$C$6)</f>
        <v>1549.1490314676955</v>
      </c>
      <c r="K126" s="26">
        <f>IF(A126&gt;200,"",D126*'Adj-Barrows'!$C$7)</f>
        <v>0.18956775133098444</v>
      </c>
      <c r="L126" s="1">
        <f t="shared" si="13"/>
        <v>5.2751588441538484</v>
      </c>
      <c r="M126" s="26">
        <f t="shared" si="14"/>
        <v>8.1720072142591818</v>
      </c>
      <c r="N126" s="30">
        <f t="shared" si="19"/>
        <v>555.14136717621739</v>
      </c>
    </row>
    <row r="127" spans="1:14" x14ac:dyDescent="0.25">
      <c r="A127" s="25">
        <f t="shared" si="20"/>
        <v>145</v>
      </c>
      <c r="B127" s="27">
        <f>IF(A127&gt;200,"",IF($C$1='Adj-Mixed'!$A$21,VLOOKUP(A127,'800'!$A$6:$AB$188,2,FALSE),IF($C$1='Adj-Mixed'!$A$20,VLOOKUP(A127,'800'!$A$6:$AB$188,11,FALSE),IF($C$1='Adj-Mixed'!$A$19,VLOOKUP(A127,'800'!$A$6:$AB$188,20,FALSE)))))</f>
        <v>102.43406765696936</v>
      </c>
      <c r="C127" s="25">
        <f t="shared" si="15"/>
        <v>983.19116808674778</v>
      </c>
      <c r="D127" s="26">
        <f t="shared" si="16"/>
        <v>0.30066912042614319</v>
      </c>
      <c r="E127" s="26">
        <f>IF(A127&gt;200,"",IF($C$1='Adj-Mixed'!$A$21,VLOOKUP(A127,'800'!$A$7:$AB$188,8,FALSE),IF($C$1='Adj-Mixed'!$A$20,VLOOKUP(A127,'800'!$A$7:$AB$188,17,FALSE),IF($C$1='Adj-Mixed'!$A$19,VLOOKUP(A127,'800'!$A$7:$AB$188,26,FALSE)))))</f>
        <v>3.3259152073305165</v>
      </c>
      <c r="F127" s="26">
        <f t="shared" si="21"/>
        <v>3.2700104576527682</v>
      </c>
      <c r="G127" s="27">
        <f t="shared" si="18"/>
        <v>224.70064935042845</v>
      </c>
      <c r="H127" s="1"/>
      <c r="I127" s="127">
        <f t="shared" si="17"/>
        <v>163.30070151632341</v>
      </c>
      <c r="J127" s="25">
        <f>IF(A127&gt;200,"",C127*'Adj-Barrows'!$C$6)</f>
        <v>1545.2671580878848</v>
      </c>
      <c r="K127" s="26">
        <f>IF(A127&gt;200,"",D127*'Adj-Barrows'!$C$7)</f>
        <v>0.18849010461166144</v>
      </c>
      <c r="L127" s="1">
        <f t="shared" si="13"/>
        <v>5.3053182927573825</v>
      </c>
      <c r="M127" s="26">
        <f t="shared" si="14"/>
        <v>8.1981341210008676</v>
      </c>
      <c r="N127" s="30">
        <f t="shared" si="19"/>
        <v>563.33950129721825</v>
      </c>
    </row>
    <row r="128" spans="1:14" x14ac:dyDescent="0.25">
      <c r="A128" s="25">
        <f t="shared" si="20"/>
        <v>146</v>
      </c>
      <c r="B128" s="27">
        <f>IF(A128&gt;200,"",IF($C$1='Adj-Mixed'!$A$21,VLOOKUP(A128,'800'!$A$6:$AB$188,2,FALSE),IF($C$1='Adj-Mixed'!$A$20,VLOOKUP(A128,'800'!$A$6:$AB$188,11,FALSE),IF($C$1='Adj-Mixed'!$A$19,VLOOKUP(A128,'800'!$A$6:$AB$188,20,FALSE)))))</f>
        <v>103.41470801882129</v>
      </c>
      <c r="C128" s="25">
        <f t="shared" si="15"/>
        <v>980.64036185192549</v>
      </c>
      <c r="D128" s="26">
        <f t="shared" si="16"/>
        <v>0.29896302924992613</v>
      </c>
      <c r="E128" s="26">
        <f>IF(A128&gt;200,"",IF($C$1='Adj-Mixed'!$A$21,VLOOKUP(A128,'800'!$A$7:$AB$188,8,FALSE),IF($C$1='Adj-Mixed'!$A$20,VLOOKUP(A128,'800'!$A$7:$AB$188,17,FALSE),IF($C$1='Adj-Mixed'!$A$19,VLOOKUP(A128,'800'!$A$7:$AB$188,26,FALSE)))))</f>
        <v>3.344895194930686</v>
      </c>
      <c r="F128" s="26">
        <f t="shared" si="21"/>
        <v>3.2801392343135949</v>
      </c>
      <c r="G128" s="27">
        <f t="shared" si="18"/>
        <v>227.98078858474204</v>
      </c>
      <c r="H128" s="1"/>
      <c r="I128" s="127">
        <f t="shared" si="17"/>
        <v>164.84195960961367</v>
      </c>
      <c r="J128" s="25">
        <f>IF(A128&gt;200,"",C128*'Adj-Barrows'!$C$6)</f>
        <v>1541.2580932902556</v>
      </c>
      <c r="K128" s="26">
        <f>IF(A128&gt;200,"",D128*'Adj-Barrows'!$C$7)</f>
        <v>0.18742055246135611</v>
      </c>
      <c r="L128" s="1">
        <f t="shared" si="13"/>
        <v>5.335594132378775</v>
      </c>
      <c r="M128" s="26">
        <f t="shared" si="14"/>
        <v>8.2235276390407854</v>
      </c>
      <c r="N128" s="30">
        <f t="shared" si="19"/>
        <v>571.563028936259</v>
      </c>
    </row>
    <row r="129" spans="1:14" x14ac:dyDescent="0.25">
      <c r="A129" s="25">
        <f t="shared" si="20"/>
        <v>147</v>
      </c>
      <c r="B129" s="27">
        <f>IF(A129&gt;200,"",IF($C$1='Adj-Mixed'!$A$21,VLOOKUP(A129,'800'!$A$6:$AB$188,2,FALSE),IF($C$1='Adj-Mixed'!$A$20,VLOOKUP(A129,'800'!$A$6:$AB$188,11,FALSE),IF($C$1='Adj-Mixed'!$A$19,VLOOKUP(A129,'800'!$A$6:$AB$188,20,FALSE)))))</f>
        <v>104.39271876775777</v>
      </c>
      <c r="C129" s="25">
        <f t="shared" si="15"/>
        <v>978.01074893648376</v>
      </c>
      <c r="D129" s="26">
        <f t="shared" si="16"/>
        <v>0.29726928862457391</v>
      </c>
      <c r="E129" s="26">
        <f>IF(A129&gt;200,"",IF($C$1='Adj-Mixed'!$A$21,VLOOKUP(A129,'800'!$A$7:$AB$188,8,FALSE),IF($C$1='Adj-Mixed'!$A$20,VLOOKUP(A129,'800'!$A$7:$AB$188,17,FALSE),IF($C$1='Adj-Mixed'!$A$19,VLOOKUP(A129,'800'!$A$7:$AB$188,26,FALSE)))))</f>
        <v>3.3639532850058917</v>
      </c>
      <c r="F129" s="26">
        <f t="shared" si="21"/>
        <v>3.2899824716559571</v>
      </c>
      <c r="G129" s="27">
        <f t="shared" si="18"/>
        <v>231.27077105639799</v>
      </c>
      <c r="H129" s="1"/>
      <c r="I129" s="127">
        <f t="shared" si="17"/>
        <v>166.37908477880063</v>
      </c>
      <c r="J129" s="25">
        <f>IF(A129&gt;200,"",C129*'Adj-Barrows'!$C$6)</f>
        <v>1537.1251691869775</v>
      </c>
      <c r="K129" s="26">
        <f>IF(A129&gt;200,"",D129*'Adj-Barrows'!$C$7)</f>
        <v>0.18635874289739032</v>
      </c>
      <c r="L129" s="1">
        <f t="shared" si="13"/>
        <v>5.3659945568027521</v>
      </c>
      <c r="M129" s="26">
        <f t="shared" si="14"/>
        <v>8.2482052909818293</v>
      </c>
      <c r="N129" s="30">
        <f t="shared" si="19"/>
        <v>579.81123422724079</v>
      </c>
    </row>
    <row r="130" spans="1:14" x14ac:dyDescent="0.25">
      <c r="A130" s="25">
        <f t="shared" si="20"/>
        <v>148</v>
      </c>
      <c r="B130" s="27">
        <f>IF(A130&gt;200,"",IF($C$1='Adj-Mixed'!$A$21,VLOOKUP(A130,'800'!$A$6:$AB$188,2,FALSE),IF($C$1='Adj-Mixed'!$A$20,VLOOKUP(A130,'800'!$A$6:$AB$188,11,FALSE),IF($C$1='Adj-Mixed'!$A$19,VLOOKUP(A130,'800'!$A$6:$AB$188,20,FALSE)))))</f>
        <v>105.36802319917363</v>
      </c>
      <c r="C130" s="25">
        <f t="shared" si="15"/>
        <v>975.30443141586431</v>
      </c>
      <c r="D130" s="26">
        <f t="shared" si="16"/>
        <v>0.29558736600492641</v>
      </c>
      <c r="E130" s="26">
        <f>IF(A130&gt;200,"",IF($C$1='Adj-Mixed'!$A$21,VLOOKUP(A130,'800'!$A$7:$AB$188,8,FALSE),IF($C$1='Adj-Mixed'!$A$20,VLOOKUP(A130,'800'!$A$7:$AB$188,17,FALSE),IF($C$1='Adj-Mixed'!$A$19,VLOOKUP(A130,'800'!$A$7:$AB$188,26,FALSE)))))</f>
        <v>3.3830945263855878</v>
      </c>
      <c r="F130" s="26">
        <f t="shared" si="21"/>
        <v>3.2995470834826182</v>
      </c>
      <c r="G130" s="27">
        <f t="shared" si="18"/>
        <v>234.57031813988061</v>
      </c>
      <c r="H130" s="1"/>
      <c r="I130" s="127">
        <f t="shared" si="17"/>
        <v>167.91195646837986</v>
      </c>
      <c r="J130" s="25">
        <f>IF(A130&gt;200,"",C130*'Adj-Barrows'!$C$6)</f>
        <v>1532.8716895792334</v>
      </c>
      <c r="K130" s="26">
        <f>IF(A130&gt;200,"",D130*'Adj-Barrows'!$C$7)</f>
        <v>0.18530434206608198</v>
      </c>
      <c r="L130" s="1">
        <f t="shared" si="13"/>
        <v>5.3965276196463154</v>
      </c>
      <c r="M130" s="26">
        <f t="shared" si="14"/>
        <v>8.2721844101882454</v>
      </c>
      <c r="N130" s="30">
        <f t="shared" si="19"/>
        <v>588.08341863742908</v>
      </c>
    </row>
    <row r="131" spans="1:14" x14ac:dyDescent="0.25">
      <c r="A131" s="25">
        <f t="shared" si="20"/>
        <v>149</v>
      </c>
      <c r="B131" s="27">
        <f>IF(A131&gt;200,"",IF($C$1='Adj-Mixed'!$A$21,VLOOKUP(A131,'800'!$A$6:$AB$188,2,FALSE),IF($C$1='Adj-Mixed'!$A$20,VLOOKUP(A131,'800'!$A$6:$AB$188,11,FALSE),IF($C$1='Adj-Mixed'!$A$19,VLOOKUP(A131,'800'!$A$6:$AB$188,20,FALSE)))))</f>
        <v>106.34054669175714</v>
      </c>
      <c r="C131" s="25">
        <f t="shared" si="15"/>
        <v>972.52349258350534</v>
      </c>
      <c r="D131" s="26">
        <f t="shared" si="16"/>
        <v>0.29391675669896394</v>
      </c>
      <c r="E131" s="26">
        <f>IF(A131&gt;200,"",IF($C$1='Adj-Mixed'!$A$21,VLOOKUP(A131,'800'!$A$7:$AB$188,8,FALSE),IF($C$1='Adj-Mixed'!$A$20,VLOOKUP(A131,'800'!$A$7:$AB$188,17,FALSE),IF($C$1='Adj-Mixed'!$A$19,VLOOKUP(A131,'800'!$A$7:$AB$188,26,FALSE)))))</f>
        <v>3.4023238798331668</v>
      </c>
      <c r="F131" s="26">
        <f t="shared" si="21"/>
        <v>3.3088399025156141</v>
      </c>
      <c r="G131" s="27">
        <f t="shared" si="18"/>
        <v>237.87915804239623</v>
      </c>
      <c r="H131" s="1"/>
      <c r="I131" s="127">
        <f t="shared" si="17"/>
        <v>169.44045739712865</v>
      </c>
      <c r="J131" s="25">
        <f>IF(A131&gt;200,"",C131*'Adj-Barrows'!$C$6)</f>
        <v>1528.500928748806</v>
      </c>
      <c r="K131" s="26">
        <f>IF(A131&gt;200,"",D131*'Adj-Barrows'!$C$7)</f>
        <v>0.18425703357494136</v>
      </c>
      <c r="L131" s="1">
        <f t="shared" si="13"/>
        <v>5.4272012340482956</v>
      </c>
      <c r="M131" s="26">
        <f t="shared" si="14"/>
        <v>8.2954821267494872</v>
      </c>
      <c r="N131" s="30">
        <f t="shared" si="19"/>
        <v>596.37890076417852</v>
      </c>
    </row>
    <row r="132" spans="1:14" x14ac:dyDescent="0.25">
      <c r="A132" s="25">
        <f t="shared" si="20"/>
        <v>150</v>
      </c>
      <c r="B132" s="27">
        <f>IF(A132&gt;200,"",IF($C$1='Adj-Mixed'!$A$21,VLOOKUP(A132,'800'!$A$6:$AB$188,2,FALSE),IF($C$1='Adj-Mixed'!$A$20,VLOOKUP(A132,'800'!$A$6:$AB$188,11,FALSE),IF($C$1='Adj-Mixed'!$A$19,VLOOKUP(A132,'800'!$A$6:$AB$188,20,FALSE)))))</f>
        <v>107.31021668798101</v>
      </c>
      <c r="C132" s="25">
        <f t="shared" si="15"/>
        <v>969.66999622387107</v>
      </c>
      <c r="D132" s="26">
        <f t="shared" si="16"/>
        <v>0.29225698283299079</v>
      </c>
      <c r="E132" s="26">
        <f>IF(A132&gt;200,"",IF($C$1='Adj-Mixed'!$A$21,VLOOKUP(A132,'800'!$A$7:$AB$188,8,FALSE),IF($C$1='Adj-Mixed'!$A$20,VLOOKUP(A132,'800'!$A$7:$AB$188,17,FALSE),IF($C$1='Adj-Mixed'!$A$19,VLOOKUP(A132,'800'!$A$7:$AB$188,26,FALSE)))))</f>
        <v>3.4216462180184979</v>
      </c>
      <c r="F132" s="26">
        <f t="shared" si="21"/>
        <v>3.3178676753054197</v>
      </c>
      <c r="G132" s="27">
        <f t="shared" si="18"/>
        <v>241.19702571770165</v>
      </c>
      <c r="H132" s="1"/>
      <c r="I132" s="127">
        <f t="shared" si="17"/>
        <v>170.96447352744417</v>
      </c>
      <c r="J132" s="25">
        <f>IF(A132&gt;200,"",C132*'Adj-Barrows'!$C$6)</f>
        <v>1524.0161303155098</v>
      </c>
      <c r="K132" s="26">
        <f>IF(A132&gt;200,"",D132*'Adj-Barrows'!$C$7)</f>
        <v>0.18321651784394255</v>
      </c>
      <c r="L132" s="1">
        <f t="shared" ref="L132:L185" si="22">IF(A132&gt;200,"",1/K132)</f>
        <v>5.4580231726255448</v>
      </c>
      <c r="M132" s="26">
        <f t="shared" ref="M132:M185" si="23">IF(A132&gt;200,"",(J132/1000)/K132)</f>
        <v>8.3181153547171629</v>
      </c>
      <c r="N132" s="30">
        <f t="shared" si="19"/>
        <v>604.6970161188957</v>
      </c>
    </row>
    <row r="133" spans="1:14" x14ac:dyDescent="0.25">
      <c r="A133" s="25">
        <f t="shared" si="20"/>
        <v>151</v>
      </c>
      <c r="B133" s="27">
        <f>IF(A133&gt;200,"",IF($C$1='Adj-Mixed'!$A$21,VLOOKUP(A133,'800'!$A$6:$AB$188,2,FALSE),IF($C$1='Adj-Mixed'!$A$20,VLOOKUP(A133,'800'!$A$6:$AB$188,11,FALSE),IF($C$1='Adj-Mixed'!$A$19,VLOOKUP(A133,'800'!$A$6:$AB$188,20,FALSE)))))</f>
        <v>108.27696267390711</v>
      </c>
      <c r="C133" s="25">
        <f t="shared" ref="C133:C185" si="24">IF(A133&gt;200,"",(B133-B132)*1000)</f>
        <v>966.74598592609584</v>
      </c>
      <c r="D133" s="26">
        <f t="shared" ref="D133:D185" si="25">IF(A133&gt;200,"",1/E133)</f>
        <v>0.29060759234610212</v>
      </c>
      <c r="E133" s="26">
        <f>IF(A133&gt;200,"",IF($C$1='Adj-Mixed'!$A$21,VLOOKUP(A133,'800'!$A$7:$AB$188,8,FALSE),IF($C$1='Adj-Mixed'!$A$20,VLOOKUP(A133,'800'!$A$7:$AB$188,17,FALSE),IF($C$1='Adj-Mixed'!$A$19,VLOOKUP(A133,'800'!$A$7:$AB$188,26,FALSE)))))</f>
        <v>3.441066325648642</v>
      </c>
      <c r="F133" s="26">
        <f t="shared" si="21"/>
        <v>3.3266370576262845</v>
      </c>
      <c r="G133" s="27">
        <f t="shared" si="18"/>
        <v>244.52366277532792</v>
      </c>
      <c r="H133" s="1"/>
      <c r="I133" s="127">
        <f t="shared" ref="I133:I185" si="26">IF(A133&gt;200,"",I132+(J133/1000))</f>
        <v>172.48389403360264</v>
      </c>
      <c r="J133" s="25">
        <f>IF(A133&gt;200,"",C133*'Adj-Barrows'!$C$6)</f>
        <v>1519.4205061584546</v>
      </c>
      <c r="K133" s="26">
        <f>IF(A133&gt;200,"",D133*'Adj-Barrows'!$C$7)</f>
        <v>0.18218251147515252</v>
      </c>
      <c r="L133" s="1">
        <f t="shared" si="22"/>
        <v>5.4890010676814489</v>
      </c>
      <c r="M133" s="26">
        <f t="shared" si="23"/>
        <v>8.3401007805608458</v>
      </c>
      <c r="N133" s="30">
        <f t="shared" si="19"/>
        <v>613.03711689945658</v>
      </c>
    </row>
    <row r="134" spans="1:14" x14ac:dyDescent="0.25">
      <c r="A134" s="25">
        <f t="shared" si="20"/>
        <v>152</v>
      </c>
      <c r="B134" s="27">
        <f>IF(A134&gt;200,"",IF($C$1='Adj-Mixed'!$A$21,VLOOKUP(A134,'800'!$A$6:$AB$188,2,FALSE),IF($C$1='Adj-Mixed'!$A$20,VLOOKUP(A134,'800'!$A$6:$AB$188,11,FALSE),IF($C$1='Adj-Mixed'!$A$19,VLOOKUP(A134,'800'!$A$6:$AB$188,20,FALSE)))))</f>
        <v>109.24071615834588</v>
      </c>
      <c r="C134" s="25">
        <f t="shared" si="24"/>
        <v>963.75348443876874</v>
      </c>
      <c r="D134" s="26">
        <f t="shared" si="25"/>
        <v>0.28896815801341674</v>
      </c>
      <c r="E134" s="26">
        <f>IF(A134&gt;200,"",IF($C$1='Adj-Mixed'!$A$21,VLOOKUP(A134,'800'!$A$7:$AB$188,8,FALSE),IF($C$1='Adj-Mixed'!$A$20,VLOOKUP(A134,'800'!$A$7:$AB$188,17,FALSE),IF($C$1='Adj-Mixed'!$A$19,VLOOKUP(A134,'800'!$A$7:$AB$188,26,FALSE)))))</f>
        <v>3.4605888997415768</v>
      </c>
      <c r="F134" s="26">
        <f t="shared" si="21"/>
        <v>3.3351546103360699</v>
      </c>
      <c r="G134" s="27">
        <f t="shared" ref="G134:G185" si="27">IF(A134&gt;200,"",F134+G133)</f>
        <v>247.858817385664</v>
      </c>
      <c r="H134" s="1"/>
      <c r="I134" s="127">
        <f t="shared" si="26"/>
        <v>173.99861126900461</v>
      </c>
      <c r="J134" s="25">
        <f>IF(A134&gt;200,"",C134*'Adj-Barrows'!$C$6)</f>
        <v>1514.7172354019706</v>
      </c>
      <c r="K134" s="26">
        <f>IF(A134&gt;200,"",D134*'Adj-Barrows'!$C$7)</f>
        <v>0.18115474664039383</v>
      </c>
      <c r="L134" s="1">
        <f t="shared" si="22"/>
        <v>5.5201424116425573</v>
      </c>
      <c r="M134" s="26">
        <f t="shared" si="23"/>
        <v>8.3614548527883805</v>
      </c>
      <c r="N134" s="30">
        <f t="shared" ref="N134:N185" si="28">IF(A134&gt;200,"",N133+M134)</f>
        <v>621.39857175224495</v>
      </c>
    </row>
    <row r="135" spans="1:14" x14ac:dyDescent="0.25">
      <c r="A135" s="25">
        <f t="shared" si="20"/>
        <v>153</v>
      </c>
      <c r="B135" s="27">
        <f>IF(A135&gt;200,"",IF($C$1='Adj-Mixed'!$A$21,VLOOKUP(A135,'800'!$A$6:$AB$188,2,FALSE),IF($C$1='Adj-Mixed'!$A$20,VLOOKUP(A135,'800'!$A$6:$AB$188,11,FALSE),IF($C$1='Adj-Mixed'!$A$19,VLOOKUP(A135,'800'!$A$6:$AB$188,20,FALSE)))))</f>
        <v>110.20141065140949</v>
      </c>
      <c r="C135" s="25">
        <f t="shared" si="24"/>
        <v>960.69449306361321</v>
      </c>
      <c r="D135" s="26">
        <f t="shared" si="25"/>
        <v>0.28733827649678645</v>
      </c>
      <c r="E135" s="26">
        <f>IF(A135&gt;200,"",IF($C$1='Adj-Mixed'!$A$21,VLOOKUP(A135,'800'!$A$7:$AB$188,8,FALSE),IF($C$1='Adj-Mixed'!$A$20,VLOOKUP(A135,'800'!$A$7:$AB$188,17,FALSE),IF($C$1='Adj-Mixed'!$A$19,VLOOKUP(A135,'800'!$A$7:$AB$188,26,FALSE)))))</f>
        <v>3.4802185500377774</v>
      </c>
      <c r="F135" s="26">
        <f t="shared" si="21"/>
        <v>3.3434267956791253</v>
      </c>
      <c r="G135" s="27">
        <f t="shared" si="27"/>
        <v>251.20224418134313</v>
      </c>
      <c r="H135" s="1"/>
      <c r="I135" s="127">
        <f t="shared" si="26"/>
        <v>175.50852073246728</v>
      </c>
      <c r="J135" s="25">
        <f>IF(A135&gt;200,"",C135*'Adj-Barrows'!$C$6)</f>
        <v>1509.9094634626636</v>
      </c>
      <c r="K135" s="26">
        <f>IF(A135&gt;200,"",D135*'Adj-Barrows'!$C$7)</f>
        <v>0.18013297048613219</v>
      </c>
      <c r="L135" s="1">
        <f t="shared" si="22"/>
        <v>5.5514545577151102</v>
      </c>
      <c r="M135" s="26">
        <f t="shared" si="23"/>
        <v>8.3821937726769793</v>
      </c>
      <c r="N135" s="30">
        <f t="shared" si="28"/>
        <v>629.78076552492189</v>
      </c>
    </row>
    <row r="136" spans="1:14" x14ac:dyDescent="0.25">
      <c r="A136" s="25">
        <f t="shared" si="20"/>
        <v>154</v>
      </c>
      <c r="B136" s="27">
        <f>IF(A136&gt;200,"",IF($C$1='Adj-Mixed'!$A$21,VLOOKUP(A136,'800'!$A$6:$AB$188,2,FALSE),IF($C$1='Adj-Mixed'!$A$20,VLOOKUP(A136,'800'!$A$6:$AB$188,11,FALSE),IF($C$1='Adj-Mixed'!$A$19,VLOOKUP(A136,'800'!$A$6:$AB$188,20,FALSE)))))</f>
        <v>111.15898164249766</v>
      </c>
      <c r="C136" s="25">
        <f t="shared" si="24"/>
        <v>957.57099108817556</v>
      </c>
      <c r="D136" s="26">
        <f t="shared" si="25"/>
        <v>0.28571756742247439</v>
      </c>
      <c r="E136" s="26">
        <f>IF(A136&gt;200,"",IF($C$1='Adj-Mixed'!$A$21,VLOOKUP(A136,'800'!$A$7:$AB$188,8,FALSE),IF($C$1='Adj-Mixed'!$A$20,VLOOKUP(A136,'800'!$A$7:$AB$188,17,FALSE),IF($C$1='Adj-Mixed'!$A$19,VLOOKUP(A136,'800'!$A$7:$AB$188,26,FALSE)))))</f>
        <v>3.4999597995364304</v>
      </c>
      <c r="F136" s="26">
        <f t="shared" si="21"/>
        <v>3.3514599740108721</v>
      </c>
      <c r="G136" s="27">
        <f t="shared" si="27"/>
        <v>254.55370415535401</v>
      </c>
      <c r="H136" s="1"/>
      <c r="I136" s="127">
        <f t="shared" si="26"/>
        <v>177.01352103362507</v>
      </c>
      <c r="J136" s="25">
        <f>IF(A136&gt;200,"",C136*'Adj-Barrows'!$C$6)</f>
        <v>1505.0003011577794</v>
      </c>
      <c r="K136" s="26">
        <f>IF(A136&gt;200,"",D136*'Adj-Barrows'!$C$7)</f>
        <v>0.17911694455527113</v>
      </c>
      <c r="L136" s="1">
        <f t="shared" si="22"/>
        <v>5.5829447207403895</v>
      </c>
      <c r="M136" s="26">
        <f t="shared" si="23"/>
        <v>8.4023334860615204</v>
      </c>
      <c r="N136" s="30">
        <f t="shared" si="28"/>
        <v>638.18309901098337</v>
      </c>
    </row>
    <row r="137" spans="1:14" x14ac:dyDescent="0.25">
      <c r="A137" s="25">
        <f t="shared" si="20"/>
        <v>155</v>
      </c>
      <c r="B137" s="27">
        <f>IF(A137&gt;200,"",IF($C$1='Adj-Mixed'!$A$21,VLOOKUP(A137,'800'!$A$6:$AB$188,2,FALSE),IF($C$1='Adj-Mixed'!$A$20,VLOOKUP(A137,'800'!$A$6:$AB$188,11,FALSE),IF($C$1='Adj-Mixed'!$A$19,VLOOKUP(A137,'800'!$A$6:$AB$188,20,FALSE)))))</f>
        <v>112.1133665777536</v>
      </c>
      <c r="C137" s="25">
        <f t="shared" si="24"/>
        <v>954.3849352559306</v>
      </c>
      <c r="D137" s="26">
        <f t="shared" si="25"/>
        <v>0.28410567248483981</v>
      </c>
      <c r="E137" s="26">
        <f>IF(A137&gt;200,"",IF($C$1='Adj-Mixed'!$A$21,VLOOKUP(A137,'800'!$A$7:$AB$188,8,FALSE),IF($C$1='Adj-Mixed'!$A$20,VLOOKUP(A137,'800'!$A$7:$AB$188,17,FALSE),IF($C$1='Adj-Mixed'!$A$19,VLOOKUP(A137,'800'!$A$7:$AB$188,26,FALSE)))))</f>
        <v>3.5198170851494037</v>
      </c>
      <c r="F137" s="26">
        <f t="shared" si="21"/>
        <v>3.359260400923032</v>
      </c>
      <c r="G137" s="27">
        <f t="shared" si="27"/>
        <v>257.91296455627702</v>
      </c>
      <c r="H137" s="1"/>
      <c r="I137" s="127">
        <f t="shared" si="26"/>
        <v>178.51351385749746</v>
      </c>
      <c r="J137" s="25">
        <f>IF(A137&gt;200,"",C137*'Adj-Barrows'!$C$6)</f>
        <v>1499.9928238723774</v>
      </c>
      <c r="K137" s="26">
        <f>IF(A137&gt;200,"",D137*'Adj-Barrows'!$C$7)</f>
        <v>0.1781064442252501</v>
      </c>
      <c r="L137" s="1">
        <f t="shared" si="22"/>
        <v>5.6146199782378803</v>
      </c>
      <c r="M137" s="26">
        <f t="shared" si="23"/>
        <v>8.4218896761273054</v>
      </c>
      <c r="N137" s="30">
        <f t="shared" si="28"/>
        <v>646.60498868711068</v>
      </c>
    </row>
    <row r="138" spans="1:14" x14ac:dyDescent="0.25">
      <c r="A138" s="25">
        <f t="shared" si="20"/>
        <v>156</v>
      </c>
      <c r="B138" s="27">
        <f>IF(A138&gt;200,"",IF($C$1='Adj-Mixed'!$A$21,VLOOKUP(A138,'800'!$A$6:$AB$188,2,FALSE),IF($C$1='Adj-Mixed'!$A$20,VLOOKUP(A138,'800'!$A$6:$AB$188,11,FALSE),IF($C$1='Adj-Mixed'!$A$19,VLOOKUP(A138,'800'!$A$6:$AB$188,20,FALSE)))))</f>
        <v>113.06450483702717</v>
      </c>
      <c r="C138" s="25">
        <f t="shared" si="24"/>
        <v>951.13825927357709</v>
      </c>
      <c r="D138" s="26">
        <f t="shared" si="25"/>
        <v>0.28250225457552625</v>
      </c>
      <c r="E138" s="26">
        <f>IF(A138&gt;200,"",IF($C$1='Adj-Mixed'!$A$21,VLOOKUP(A138,'800'!$A$7:$AB$188,8,FALSE),IF($C$1='Adj-Mixed'!$A$20,VLOOKUP(A138,'800'!$A$7:$AB$188,17,FALSE),IF($C$1='Adj-Mixed'!$A$19,VLOOKUP(A138,'800'!$A$7:$AB$188,26,FALSE)))))</f>
        <v>3.5397947584614857</v>
      </c>
      <c r="F138" s="26">
        <f t="shared" si="21"/>
        <v>3.3668342247487897</v>
      </c>
      <c r="G138" s="27">
        <f t="shared" si="27"/>
        <v>261.27979878102582</v>
      </c>
      <c r="H138" s="1"/>
      <c r="I138" s="127">
        <f t="shared" si="26"/>
        <v>180.00840392828241</v>
      </c>
      <c r="J138" s="25">
        <f>IF(A138&gt;200,"",C138*'Adj-Barrows'!$C$6)</f>
        <v>1494.8900707849523</v>
      </c>
      <c r="K138" s="26">
        <f>IF(A138&gt;200,"",D138*'Adj-Barrows'!$C$7)</f>
        <v>0.17710125816213071</v>
      </c>
      <c r="L138" s="1">
        <f t="shared" si="22"/>
        <v>5.6464872716179748</v>
      </c>
      <c r="M138" s="26">
        <f t="shared" si="23"/>
        <v>8.4408777571553273</v>
      </c>
      <c r="N138" s="30">
        <f t="shared" si="28"/>
        <v>655.04586644426604</v>
      </c>
    </row>
    <row r="139" spans="1:14" x14ac:dyDescent="0.25">
      <c r="A139" s="25">
        <f t="shared" si="20"/>
        <v>157</v>
      </c>
      <c r="B139" s="27">
        <f>IF(A139&gt;200,"",IF($C$1='Adj-Mixed'!$A$21,VLOOKUP(A139,'800'!$A$6:$AB$188,2,FALSE),IF($C$1='Adj-Mixed'!$A$20,VLOOKUP(A139,'800'!$A$6:$AB$188,11,FALSE),IF($C$1='Adj-Mixed'!$A$19,VLOOKUP(A139,'800'!$A$6:$AB$188,20,FALSE)))))</f>
        <v>114.0123377103811</v>
      </c>
      <c r="C139" s="25">
        <f t="shared" si="24"/>
        <v>947.8328733539314</v>
      </c>
      <c r="D139" s="26">
        <f t="shared" si="25"/>
        <v>0.28090699693729221</v>
      </c>
      <c r="E139" s="26">
        <f>IF(A139&gt;200,"",IF($C$1='Adj-Mixed'!$A$21,VLOOKUP(A139,'800'!$A$7:$AB$188,8,FALSE),IF($C$1='Adj-Mixed'!$A$20,VLOOKUP(A139,'800'!$A$7:$AB$188,17,FALSE),IF($C$1='Adj-Mixed'!$A$19,VLOOKUP(A139,'800'!$A$7:$AB$188,26,FALSE)))))</f>
        <v>3.5598970865906674</v>
      </c>
      <c r="F139" s="26">
        <f t="shared" si="21"/>
        <v>3.3741874844275213</v>
      </c>
      <c r="G139" s="27">
        <f t="shared" si="27"/>
        <v>264.65398626545334</v>
      </c>
      <c r="H139" s="1"/>
      <c r="I139" s="127">
        <f t="shared" si="26"/>
        <v>181.49809897243142</v>
      </c>
      <c r="J139" s="25">
        <f>IF(A139&gt;200,"",C139*'Adj-Barrows'!$C$6)</f>
        <v>1489.6950441490092</v>
      </c>
      <c r="K139" s="26">
        <f>IF(A139&gt;200,"",D139*'Adj-Barrows'!$C$7)</f>
        <v>0.17610118779013137</v>
      </c>
      <c r="L139" s="1">
        <f t="shared" si="22"/>
        <v>5.6785534075542419</v>
      </c>
      <c r="M139" s="26">
        <f t="shared" si="23"/>
        <v>8.4593128691690236</v>
      </c>
      <c r="N139" s="30">
        <f t="shared" si="28"/>
        <v>663.50517931343506</v>
      </c>
    </row>
    <row r="140" spans="1:14" x14ac:dyDescent="0.25">
      <c r="A140" s="25">
        <f t="shared" si="20"/>
        <v>158</v>
      </c>
      <c r="B140" s="27">
        <f>IF(A140&gt;200,"",IF($C$1='Adj-Mixed'!$A$21,VLOOKUP(A140,'800'!$A$6:$AB$188,2,FALSE),IF($C$1='Adj-Mixed'!$A$20,VLOOKUP(A140,'800'!$A$6:$AB$188,11,FALSE),IF($C$1='Adj-Mixed'!$A$19,VLOOKUP(A140,'800'!$A$6:$AB$188,20,FALSE)))))</f>
        <v>114.95680837417505</v>
      </c>
      <c r="C140" s="25">
        <f t="shared" si="24"/>
        <v>944.47066379395039</v>
      </c>
      <c r="D140" s="26">
        <f t="shared" si="25"/>
        <v>0.27931960234200026</v>
      </c>
      <c r="E140" s="26">
        <f>IF(A140&gt;200,"",IF($C$1='Adj-Mixed'!$A$21,VLOOKUP(A140,'800'!$A$7:$AB$188,8,FALSE),IF($C$1='Adj-Mixed'!$A$20,VLOOKUP(A140,'800'!$A$7:$AB$188,17,FALSE),IF($C$1='Adj-Mixed'!$A$19,VLOOKUP(A140,'800'!$A$7:$AB$188,26,FALSE)))))</f>
        <v>3.5801282531384793</v>
      </c>
      <c r="F140" s="26">
        <f t="shared" si="21"/>
        <v>3.3813261077091754</v>
      </c>
      <c r="G140" s="27">
        <f t="shared" si="27"/>
        <v>268.03531237316253</v>
      </c>
      <c r="H140" s="1"/>
      <c r="I140" s="127">
        <f t="shared" si="26"/>
        <v>182.98250968106126</v>
      </c>
      <c r="J140" s="25">
        <f>IF(A140&gt;200,"",C140*'Adj-Barrows'!$C$6)</f>
        <v>1484.4107086298466</v>
      </c>
      <c r="K140" s="26">
        <f>IF(A140&gt;200,"",D140*'Adj-Barrows'!$C$7)</f>
        <v>0.17510604677630695</v>
      </c>
      <c r="L140" s="1">
        <f t="shared" si="22"/>
        <v>5.7108250594993555</v>
      </c>
      <c r="M140" s="26">
        <f t="shared" si="23"/>
        <v>8.477209873432523</v>
      </c>
      <c r="N140" s="30">
        <f t="shared" si="28"/>
        <v>671.98238918686764</v>
      </c>
    </row>
    <row r="141" spans="1:14" x14ac:dyDescent="0.25">
      <c r="A141" s="25">
        <f t="shared" si="20"/>
        <v>159</v>
      </c>
      <c r="B141" s="27">
        <f>IF(A141&gt;200,"",IF($C$1='Adj-Mixed'!$A$21,VLOOKUP(A141,'800'!$A$6:$AB$188,2,FALSE),IF($C$1='Adj-Mixed'!$A$20,VLOOKUP(A141,'800'!$A$6:$AB$188,11,FALSE),IF($C$1='Adj-Mixed'!$A$19,VLOOKUP(A141,'800'!$A$6:$AB$188,20,FALSE)))))</f>
        <v>115.89786186676197</v>
      </c>
      <c r="C141" s="25">
        <f t="shared" si="24"/>
        <v>941.05349258691717</v>
      </c>
      <c r="D141" s="26">
        <f t="shared" si="25"/>
        <v>0.2777397922921705</v>
      </c>
      <c r="E141" s="26">
        <f>IF(A141&gt;200,"",IF($C$1='Adj-Mixed'!$A$21,VLOOKUP(A141,'800'!$A$7:$AB$188,8,FALSE),IF($C$1='Adj-Mixed'!$A$20,VLOOKUP(A141,'800'!$A$7:$AB$188,17,FALSE),IF($C$1='Adj-Mixed'!$A$19,VLOOKUP(A141,'800'!$A$7:$AB$188,26,FALSE)))))</f>
        <v>3.6004923592224851</v>
      </c>
      <c r="F141" s="26">
        <f t="shared" si="21"/>
        <v>3.3882559096788287</v>
      </c>
      <c r="G141" s="27">
        <f t="shared" si="27"/>
        <v>271.42356828284136</v>
      </c>
      <c r="H141" s="1"/>
      <c r="I141" s="127">
        <f t="shared" si="26"/>
        <v>184.4615496717563</v>
      </c>
      <c r="J141" s="25">
        <f>IF(A141&gt;200,"",C141*'Adj-Barrows'!$C$6)</f>
        <v>1479.0399906950349</v>
      </c>
      <c r="K141" s="26">
        <f>IF(A141&gt;200,"",D141*'Adj-Barrows'!$C$7)</f>
        <v>0.17411566053000099</v>
      </c>
      <c r="L141" s="1">
        <f t="shared" si="22"/>
        <v>5.7433087693320672</v>
      </c>
      <c r="M141" s="26">
        <f t="shared" si="23"/>
        <v>8.4945833487516129</v>
      </c>
      <c r="N141" s="30">
        <f t="shared" si="28"/>
        <v>680.47697253561921</v>
      </c>
    </row>
    <row r="142" spans="1:14" x14ac:dyDescent="0.25">
      <c r="A142" s="25">
        <f t="shared" si="20"/>
        <v>160</v>
      </c>
      <c r="B142" s="27">
        <f>IF(A142&gt;200,"",IF($C$1='Adj-Mixed'!$A$21,VLOOKUP(A142,'800'!$A$6:$AB$188,2,FALSE),IF($C$1='Adj-Mixed'!$A$20,VLOOKUP(A142,'800'!$A$6:$AB$188,11,FALSE),IF($C$1='Adj-Mixed'!$A$19,VLOOKUP(A142,'800'!$A$6:$AB$188,20,FALSE)))))</f>
        <v>116.83544506382951</v>
      </c>
      <c r="C142" s="25">
        <f t="shared" si="24"/>
        <v>937.58319706753923</v>
      </c>
      <c r="D142" s="26">
        <f t="shared" si="25"/>
        <v>0.27616730624545327</v>
      </c>
      <c r="E142" s="26">
        <f>IF(A142&gt;200,"",IF($C$1='Adj-Mixed'!$A$21,VLOOKUP(A142,'800'!$A$7:$AB$188,8,FALSE),IF($C$1='Adj-Mixed'!$A$20,VLOOKUP(A142,'800'!$A$7:$AB$188,17,FALSE),IF($C$1='Adj-Mixed'!$A$19,VLOOKUP(A142,'800'!$A$7:$AB$188,26,FALSE)))))</f>
        <v>3.6209934245844995</v>
      </c>
      <c r="F142" s="26">
        <f t="shared" si="21"/>
        <v>3.3949825915824725</v>
      </c>
      <c r="G142" s="27">
        <f t="shared" si="27"/>
        <v>274.81855087442381</v>
      </c>
      <c r="H142" s="1"/>
      <c r="I142" s="127">
        <f t="shared" si="26"/>
        <v>185.93513544981292</v>
      </c>
      <c r="J142" s="25">
        <f>IF(A142&gt;200,"",C142*'Adj-Barrows'!$C$6)</f>
        <v>1473.5857780566225</v>
      </c>
      <c r="K142" s="26">
        <f>IF(A142&gt;200,"",D142*'Adj-Barrows'!$C$7)</f>
        <v>0.17312986571666591</v>
      </c>
      <c r="L142" s="1">
        <f t="shared" si="22"/>
        <v>5.7760109491249807</v>
      </c>
      <c r="M142" s="26">
        <f t="shared" si="23"/>
        <v>8.5114475885299061</v>
      </c>
      <c r="N142" s="30">
        <f t="shared" si="28"/>
        <v>688.98842012414912</v>
      </c>
    </row>
    <row r="143" spans="1:14" x14ac:dyDescent="0.25">
      <c r="A143" s="25">
        <f t="shared" si="20"/>
        <v>161</v>
      </c>
      <c r="B143" s="27">
        <f>IF(A143&gt;200,"",IF($C$1='Adj-Mixed'!$A$21,VLOOKUP(A143,'800'!$A$6:$AB$188,2,FALSE),IF($C$1='Adj-Mixed'!$A$20,VLOOKUP(A143,'800'!$A$6:$AB$188,11,FALSE),IF($C$1='Adj-Mixed'!$A$19,VLOOKUP(A143,'800'!$A$6:$AB$188,20,FALSE)))))</f>
        <v>117.76950665341901</v>
      </c>
      <c r="C143" s="25">
        <f t="shared" si="24"/>
        <v>934.06158958950414</v>
      </c>
      <c r="D143" s="26">
        <f t="shared" si="25"/>
        <v>0.27460190086164094</v>
      </c>
      <c r="E143" s="26">
        <f>IF(A143&gt;200,"",IF($C$1='Adj-Mixed'!$A$21,VLOOKUP(A143,'800'!$A$7:$AB$188,8,FALSE),IF($C$1='Adj-Mixed'!$A$20,VLOOKUP(A143,'800'!$A$7:$AB$188,17,FALSE),IF($C$1='Adj-Mixed'!$A$19,VLOOKUP(A143,'800'!$A$7:$AB$188,26,FALSE)))))</f>
        <v>3.6416353887654016</v>
      </c>
      <c r="F143" s="26">
        <f t="shared" si="21"/>
        <v>3.4015117399356027</v>
      </c>
      <c r="G143" s="27">
        <f t="shared" si="27"/>
        <v>278.22006261435939</v>
      </c>
      <c r="H143" s="1"/>
      <c r="I143" s="127">
        <f t="shared" si="26"/>
        <v>187.40318636897726</v>
      </c>
      <c r="J143" s="25">
        <f>IF(A143&gt;200,"",C143*'Adj-Barrows'!$C$6)</f>
        <v>1468.0509191643544</v>
      </c>
      <c r="K143" s="26">
        <f>IF(A143&gt;200,"",D143*'Adj-Barrows'!$C$7)</f>
        <v>0.17214850978581328</v>
      </c>
      <c r="L143" s="1">
        <f t="shared" si="22"/>
        <v>5.8089378830185483</v>
      </c>
      <c r="M143" s="26">
        <f t="shared" si="23"/>
        <v>8.5278165985340184</v>
      </c>
      <c r="N143" s="30">
        <f t="shared" si="28"/>
        <v>697.51623672268317</v>
      </c>
    </row>
    <row r="144" spans="1:14" x14ac:dyDescent="0.25">
      <c r="A144" s="25">
        <f t="shared" si="20"/>
        <v>162</v>
      </c>
      <c r="B144" s="27">
        <f>IF(A144&gt;200,"",IF($C$1='Adj-Mixed'!$A$21,VLOOKUP(A144,'800'!$A$6:$AB$188,2,FALSE),IF($C$1='Adj-Mixed'!$A$20,VLOOKUP(A144,'800'!$A$6:$AB$188,11,FALSE),IF($C$1='Adj-Mixed'!$A$19,VLOOKUP(A144,'800'!$A$6:$AB$188,20,FALSE)))))</f>
        <v>118.69999711065297</v>
      </c>
      <c r="C144" s="25">
        <f t="shared" si="24"/>
        <v>930.49045723395807</v>
      </c>
      <c r="D144" s="26">
        <f t="shared" si="25"/>
        <v>0.27304334927154789</v>
      </c>
      <c r="E144" s="26">
        <f>IF(A144&gt;200,"",IF($C$1='Adj-Mixed'!$A$21,VLOOKUP(A144,'800'!$A$7:$AB$188,8,FALSE),IF($C$1='Adj-Mixed'!$A$20,VLOOKUP(A144,'800'!$A$7:$AB$188,17,FALSE),IF($C$1='Adj-Mixed'!$A$19,VLOOKUP(A144,'800'!$A$7:$AB$188,26,FALSE)))))</f>
        <v>3.662422112341865</v>
      </c>
      <c r="F144" s="26">
        <f t="shared" si="21"/>
        <v>3.4078488258967403</v>
      </c>
      <c r="G144" s="27">
        <f t="shared" si="27"/>
        <v>281.62791144025613</v>
      </c>
      <c r="H144" s="1"/>
      <c r="I144" s="127">
        <f t="shared" si="26"/>
        <v>188.86562459172475</v>
      </c>
      <c r="J144" s="25">
        <f>IF(A144&gt;200,"",C144*'Adj-Barrows'!$C$6)</f>
        <v>1462.438222747493</v>
      </c>
      <c r="K144" s="26">
        <f>IF(A144&gt;200,"",D144*'Adj-Barrows'!$C$7)</f>
        <v>0.17117145051267293</v>
      </c>
      <c r="L144" s="1">
        <f t="shared" si="22"/>
        <v>5.8420957291938329</v>
      </c>
      <c r="M144" s="26">
        <f t="shared" si="23"/>
        <v>8.5437040953229477</v>
      </c>
      <c r="N144" s="30">
        <f t="shared" si="28"/>
        <v>706.05994081800611</v>
      </c>
    </row>
    <row r="145" spans="1:14" x14ac:dyDescent="0.25">
      <c r="A145" s="25">
        <f t="shared" si="20"/>
        <v>163</v>
      </c>
      <c r="B145" s="27">
        <f>IF(A145&gt;200,"",IF($C$1='Adj-Mixed'!$A$21,VLOOKUP(A145,'800'!$A$6:$AB$188,2,FALSE),IF($C$1='Adj-Mixed'!$A$20,VLOOKUP(A145,'800'!$A$6:$AB$188,11,FALSE),IF($C$1='Adj-Mixed'!$A$19,VLOOKUP(A145,'800'!$A$6:$AB$188,20,FALSE)))))</f>
        <v>119.62686867220168</v>
      </c>
      <c r="C145" s="25">
        <f t="shared" si="24"/>
        <v>926.8715615487082</v>
      </c>
      <c r="D145" s="26">
        <f t="shared" si="25"/>
        <v>0.2714914403675005</v>
      </c>
      <c r="E145" s="26">
        <f>IF(A145&gt;200,"",IF($C$1='Adj-Mixed'!$A$21,VLOOKUP(A145,'800'!$A$7:$AB$188,8,FALSE),IF($C$1='Adj-Mixed'!$A$20,VLOOKUP(A145,'800'!$A$7:$AB$188,17,FALSE),IF($C$1='Adj-Mixed'!$A$19,VLOOKUP(A145,'800'!$A$7:$AB$188,26,FALSE)))))</f>
        <v>3.68335737821555</v>
      </c>
      <c r="F145" s="26">
        <f t="shared" si="21"/>
        <v>3.4139992048886025</v>
      </c>
      <c r="G145" s="27">
        <f t="shared" si="27"/>
        <v>285.04191064514475</v>
      </c>
      <c r="H145" s="1"/>
      <c r="I145" s="127">
        <f t="shared" si="26"/>
        <v>190.32237504912968</v>
      </c>
      <c r="J145" s="25">
        <f>IF(A145&gt;200,"",C145*'Adj-Barrows'!$C$6)</f>
        <v>1456.7504574049251</v>
      </c>
      <c r="K145" s="26">
        <f>IF(A145&gt;200,"",D145*'Adj-Barrows'!$C$7)</f>
        <v>0.17019855555339988</v>
      </c>
      <c r="L145" s="1">
        <f t="shared" si="22"/>
        <v>5.875490521928957</v>
      </c>
      <c r="M145" s="26">
        <f t="shared" si="23"/>
        <v>8.5591235052983095</v>
      </c>
      <c r="N145" s="30">
        <f t="shared" si="28"/>
        <v>714.61906432330443</v>
      </c>
    </row>
    <row r="146" spans="1:14" x14ac:dyDescent="0.25">
      <c r="A146" s="25">
        <f t="shared" si="20"/>
        <v>164</v>
      </c>
      <c r="B146" s="27">
        <f>IF(A146&gt;200,"",IF($C$1='Adj-Mixed'!$A$21,VLOOKUP(A146,'800'!$A$6:$AB$188,2,FALSE),IF($C$1='Adj-Mixed'!$A$20,VLOOKUP(A146,'800'!$A$6:$AB$188,11,FALSE),IF($C$1='Adj-Mixed'!$A$19,VLOOKUP(A146,'800'!$A$6:$AB$188,20,FALSE)))))</f>
        <v>120.55007531051795</v>
      </c>
      <c r="C146" s="25">
        <f t="shared" si="24"/>
        <v>923.20663831627314</v>
      </c>
      <c r="D146" s="26">
        <f t="shared" si="25"/>
        <v>0.26994597811470844</v>
      </c>
      <c r="E146" s="26">
        <f>IF(A146&gt;200,"",IF($C$1='Adj-Mixed'!$A$21,VLOOKUP(A146,'800'!$A$7:$AB$188,8,FALSE),IF($C$1='Adj-Mixed'!$A$20,VLOOKUP(A146,'800'!$A$7:$AB$188,17,FALSE),IF($C$1='Adj-Mixed'!$A$19,VLOOKUP(A146,'800'!$A$7:$AB$188,26,FALSE)))))</f>
        <v>3.7044448929521332</v>
      </c>
      <c r="F146" s="26">
        <f t="shared" si="21"/>
        <v>3.4199681164502254</v>
      </c>
      <c r="G146" s="27">
        <f t="shared" si="27"/>
        <v>288.46187876159496</v>
      </c>
      <c r="H146" s="1"/>
      <c r="I146" s="127">
        <f t="shared" si="26"/>
        <v>191.7733654003703</v>
      </c>
      <c r="J146" s="25">
        <f>IF(A146&gt;200,"",C146*'Adj-Barrows'!$C$6)</f>
        <v>1450.9903512406115</v>
      </c>
      <c r="K146" s="26">
        <f>IF(A146&gt;200,"",D146*'Adj-Barrows'!$C$7)</f>
        <v>0.16922970201337129</v>
      </c>
      <c r="L146" s="1">
        <f t="shared" si="22"/>
        <v>5.9091281737350538</v>
      </c>
      <c r="M146" s="26">
        <f t="shared" si="23"/>
        <v>8.5740879643336179</v>
      </c>
      <c r="N146" s="30">
        <f t="shared" si="28"/>
        <v>723.1931522876381</v>
      </c>
    </row>
    <row r="147" spans="1:14" x14ac:dyDescent="0.25">
      <c r="A147" s="25">
        <f t="shared" si="20"/>
        <v>165</v>
      </c>
      <c r="B147" s="27">
        <f>IF(A147&gt;200,"",IF($C$1='Adj-Mixed'!$A$21,VLOOKUP(A147,'800'!$A$6:$AB$188,2,FALSE),IF($C$1='Adj-Mixed'!$A$20,VLOOKUP(A147,'800'!$A$6:$AB$188,11,FALSE),IF($C$1='Adj-Mixed'!$A$19,VLOOKUP(A147,'800'!$A$6:$AB$188,20,FALSE)))))</f>
        <v>121.46957270786892</v>
      </c>
      <c r="C147" s="25">
        <f t="shared" si="24"/>
        <v>919.49739735096614</v>
      </c>
      <c r="D147" s="26">
        <f t="shared" si="25"/>
        <v>0.26840678088340825</v>
      </c>
      <c r="E147" s="26">
        <f>IF(A147&gt;200,"",IF($C$1='Adj-Mixed'!$A$21,VLOOKUP(A147,'800'!$A$7:$AB$188,8,FALSE),IF($C$1='Adj-Mixed'!$A$20,VLOOKUP(A147,'800'!$A$7:$AB$188,17,FALSE),IF($C$1='Adj-Mixed'!$A$19,VLOOKUP(A147,'800'!$A$7:$AB$188,26,FALSE)))))</f>
        <v>3.7256882881598457</v>
      </c>
      <c r="F147" s="26">
        <f t="shared" si="21"/>
        <v>3.4257606843039543</v>
      </c>
      <c r="G147" s="27">
        <f t="shared" si="27"/>
        <v>291.88763944589891</v>
      </c>
      <c r="H147" s="1"/>
      <c r="I147" s="127">
        <f t="shared" si="26"/>
        <v>193.21852599191496</v>
      </c>
      <c r="J147" s="25">
        <f>IF(A147&gt;200,"",C147*'Adj-Barrows'!$C$6)</f>
        <v>1445.1605915446646</v>
      </c>
      <c r="K147" s="26">
        <f>IF(A147&gt;200,"",D147*'Adj-Barrows'!$C$7)</f>
        <v>0.16826477602850609</v>
      </c>
      <c r="L147" s="1">
        <f t="shared" si="22"/>
        <v>5.9430144775552307</v>
      </c>
      <c r="M147" s="26">
        <f t="shared" si="23"/>
        <v>8.5886103179422228</v>
      </c>
      <c r="N147" s="30">
        <f t="shared" si="28"/>
        <v>731.7817626055803</v>
      </c>
    </row>
    <row r="148" spans="1:14" x14ac:dyDescent="0.25">
      <c r="A148" s="25">
        <f t="shared" si="20"/>
        <v>166</v>
      </c>
      <c r="B148" s="27">
        <f>IF(A148&gt;200,"",IF($C$1='Adj-Mixed'!$A$21,VLOOKUP(A148,'800'!$A$6:$AB$188,2,FALSE),IF($C$1='Adj-Mixed'!$A$20,VLOOKUP(A148,'800'!$A$6:$AB$188,11,FALSE),IF($C$1='Adj-Mixed'!$A$19,VLOOKUP(A148,'800'!$A$6:$AB$188,20,FALSE)))))</f>
        <v>122.3853182301919</v>
      </c>
      <c r="C148" s="25">
        <f t="shared" si="24"/>
        <v>915.7455223229789</v>
      </c>
      <c r="D148" s="26">
        <f t="shared" si="25"/>
        <v>0.26687368080103596</v>
      </c>
      <c r="E148" s="26">
        <f>IF(A148&gt;200,"",IF($C$1='Adj-Mixed'!$A$21,VLOOKUP(A148,'800'!$A$7:$AB$188,8,FALSE),IF($C$1='Adj-Mixed'!$A$20,VLOOKUP(A148,'800'!$A$7:$AB$188,17,FALSE),IF($C$1='Adj-Mixed'!$A$19,VLOOKUP(A148,'800'!$A$7:$AB$188,26,FALSE)))))</f>
        <v>3.7470911219062337</v>
      </c>
      <c r="F148" s="26">
        <f t="shared" si="21"/>
        <v>3.4313819166218207</v>
      </c>
      <c r="G148" s="27">
        <f t="shared" si="27"/>
        <v>295.31902136252074</v>
      </c>
      <c r="H148" s="1"/>
      <c r="I148" s="127">
        <f t="shared" si="26"/>
        <v>194.65778981643183</v>
      </c>
      <c r="J148" s="25">
        <f>IF(A148&gt;200,"",C148*'Adj-Barrows'!$C$6)</f>
        <v>1439.2638245168639</v>
      </c>
      <c r="K148" s="26">
        <f>IF(A148&gt;200,"",D148*'Adj-Barrows'!$C$7)</f>
        <v>0.16730367235914045</v>
      </c>
      <c r="L148" s="1">
        <f t="shared" si="22"/>
        <v>5.9771551090245154</v>
      </c>
      <c r="M148" s="26">
        <f t="shared" si="23"/>
        <v>8.6027031219451366</v>
      </c>
      <c r="N148" s="30">
        <f t="shared" si="28"/>
        <v>740.38446572752548</v>
      </c>
    </row>
    <row r="149" spans="1:14" x14ac:dyDescent="0.25">
      <c r="A149" s="25">
        <f t="shared" si="20"/>
        <v>167</v>
      </c>
      <c r="B149" s="27">
        <f>IF(A149&gt;200,"",IF($C$1='Adj-Mixed'!$A$21,VLOOKUP(A149,'800'!$A$6:$AB$188,2,FALSE),IF($C$1='Adj-Mixed'!$A$20,VLOOKUP(A149,'800'!$A$6:$AB$188,11,FALSE),IF($C$1='Adj-Mixed'!$A$19,VLOOKUP(A149,'800'!$A$6:$AB$188,20,FALSE)))))</f>
        <v>123.29727090080129</v>
      </c>
      <c r="C149" s="25">
        <f t="shared" si="24"/>
        <v>911.952670609395</v>
      </c>
      <c r="D149" s="26">
        <f t="shared" si="25"/>
        <v>0.26534652312426904</v>
      </c>
      <c r="E149" s="26">
        <f>IF(A149&gt;200,"",IF($C$1='Adj-Mixed'!$A$21,VLOOKUP(A149,'800'!$A$7:$AB$188,8,FALSE),IF($C$1='Adj-Mixed'!$A$20,VLOOKUP(A149,'800'!$A$7:$AB$188,17,FALSE),IF($C$1='Adj-Mixed'!$A$19,VLOOKUP(A149,'800'!$A$7:$AB$188,26,FALSE)))))</f>
        <v>3.7686568801644804</v>
      </c>
      <c r="F149" s="26">
        <f t="shared" si="21"/>
        <v>3.4368367064764684</v>
      </c>
      <c r="G149" s="27">
        <f t="shared" si="27"/>
        <v>298.75585806899721</v>
      </c>
      <c r="H149" s="1"/>
      <c r="I149" s="127">
        <f t="shared" si="26"/>
        <v>196.09109247146432</v>
      </c>
      <c r="J149" s="25">
        <f>IF(A149&gt;200,"",C149*'Adj-Barrows'!$C$6)</f>
        <v>1433.3026550324962</v>
      </c>
      <c r="K149" s="26">
        <f>IF(A149&gt;200,"",D149*'Adj-Barrows'!$C$7)</f>
        <v>0.16634629399635975</v>
      </c>
      <c r="L149" s="1">
        <f t="shared" si="22"/>
        <v>6.0115556287769394</v>
      </c>
      <c r="M149" s="26">
        <f t="shared" si="23"/>
        <v>8.6163786436015339</v>
      </c>
      <c r="N149" s="30">
        <f t="shared" si="28"/>
        <v>749.00084437112696</v>
      </c>
    </row>
    <row r="150" spans="1:14" x14ac:dyDescent="0.25">
      <c r="A150" s="25">
        <f t="shared" si="20"/>
        <v>168</v>
      </c>
      <c r="B150" s="27">
        <f>IF(A150&gt;200,"",IF($C$1='Adj-Mixed'!$A$21,VLOOKUP(A150,'800'!$A$6:$AB$188,2,FALSE),IF($C$1='Adj-Mixed'!$A$20,VLOOKUP(A150,'800'!$A$6:$AB$188,11,FALSE),IF($C$1='Adj-Mixed'!$A$19,VLOOKUP(A150,'800'!$A$6:$AB$188,20,FALSE)))))</f>
        <v>124.20539137397171</v>
      </c>
      <c r="C150" s="25">
        <f t="shared" si="24"/>
        <v>908.12047317041333</v>
      </c>
      <c r="D150" s="26">
        <f t="shared" si="25"/>
        <v>0.26382516563030967</v>
      </c>
      <c r="E150" s="26">
        <f>IF(A150&gt;200,"",IF($C$1='Adj-Mixed'!$A$21,VLOOKUP(A150,'800'!$A$7:$AB$188,8,FALSE),IF($C$1='Adj-Mixed'!$A$20,VLOOKUP(A150,'800'!$A$7:$AB$188,17,FALSE),IF($C$1='Adj-Mixed'!$A$19,VLOOKUP(A150,'800'!$A$7:$AB$188,26,FALSE)))))</f>
        <v>3.7903889782875</v>
      </c>
      <c r="F150" s="26">
        <f t="shared" si="21"/>
        <v>3.4421298324623639</v>
      </c>
      <c r="G150" s="27">
        <f t="shared" si="27"/>
        <v>302.19798790145956</v>
      </c>
      <c r="H150" s="1"/>
      <c r="I150" s="127">
        <f t="shared" si="26"/>
        <v>197.51837211791215</v>
      </c>
      <c r="J150" s="25">
        <f>IF(A150&gt;200,"",C150*'Adj-Barrows'!$C$6)</f>
        <v>1427.2796464478174</v>
      </c>
      <c r="K150" s="26">
        <f>IF(A150&gt;200,"",D150*'Adj-Barrows'!$C$7)</f>
        <v>0.16539255178039255</v>
      </c>
      <c r="L150" s="1">
        <f t="shared" si="22"/>
        <v>6.0462214847969404</v>
      </c>
      <c r="M150" s="26">
        <f t="shared" si="23"/>
        <v>8.6296488631661763</v>
      </c>
      <c r="N150" s="30">
        <f t="shared" si="28"/>
        <v>757.63049323429311</v>
      </c>
    </row>
    <row r="151" spans="1:14" x14ac:dyDescent="0.25">
      <c r="A151" s="25">
        <f t="shared" si="20"/>
        <v>169</v>
      </c>
      <c r="B151" s="27">
        <f>IF(A151&gt;200,"",IF($C$1='Adj-Mixed'!$A$21,VLOOKUP(A151,'800'!$A$6:$AB$188,2,FALSE),IF($C$1='Adj-Mixed'!$A$20,VLOOKUP(A151,'800'!$A$6:$AB$188,11,FALSE),IF($C$1='Adj-Mixed'!$A$19,VLOOKUP(A151,'800'!$A$6:$AB$188,20,FALSE)))))</f>
        <v>125.10964190842277</v>
      </c>
      <c r="C151" s="25">
        <f t="shared" si="24"/>
        <v>904.25053445106585</v>
      </c>
      <c r="D151" s="26">
        <f t="shared" si="25"/>
        <v>0.26230947802736881</v>
      </c>
      <c r="E151" s="26">
        <f>IF(A151&gt;200,"",IF($C$1='Adj-Mixed'!$A$21,VLOOKUP(A151,'800'!$A$7:$AB$188,8,FALSE),IF($C$1='Adj-Mixed'!$A$20,VLOOKUP(A151,'800'!$A$7:$AB$188,17,FALSE),IF($C$1='Adj-Mixed'!$A$19,VLOOKUP(A151,'800'!$A$7:$AB$188,26,FALSE)))))</f>
        <v>3.8122907625002487</v>
      </c>
      <c r="F151" s="26">
        <f t="shared" si="21"/>
        <v>3.447265959473711</v>
      </c>
      <c r="G151" s="27">
        <f t="shared" si="27"/>
        <v>305.64525386093328</v>
      </c>
      <c r="H151" s="1"/>
      <c r="I151" s="127">
        <f t="shared" si="26"/>
        <v>198.93956943835772</v>
      </c>
      <c r="J151" s="25">
        <f>IF(A151&gt;200,"",C151*'Adj-Barrows'!$C$6)</f>
        <v>1421.197320445584</v>
      </c>
      <c r="K151" s="26">
        <f>IF(A151&gt;200,"",D151*'Adj-Barrows'!$C$7)</f>
        <v>0.16444236403104204</v>
      </c>
      <c r="L151" s="1">
        <f t="shared" si="22"/>
        <v>6.0811580147998141</v>
      </c>
      <c r="M151" s="26">
        <f t="shared" si="23"/>
        <v>8.6425254758396832</v>
      </c>
      <c r="N151" s="30">
        <f t="shared" si="28"/>
        <v>766.27301871013276</v>
      </c>
    </row>
    <row r="152" spans="1:14" x14ac:dyDescent="0.25">
      <c r="A152" s="25">
        <f t="shared" si="20"/>
        <v>170</v>
      </c>
      <c r="B152" s="27">
        <f>IF(A152&gt;200,"",IF($C$1='Adj-Mixed'!$A$21,VLOOKUP(A152,'800'!$A$6:$AB$188,2,FALSE),IF($C$1='Adj-Mixed'!$A$20,VLOOKUP(A152,'800'!$A$6:$AB$188,11,FALSE),IF($C$1='Adj-Mixed'!$A$19,VLOOKUP(A152,'800'!$A$6:$AB$188,20,FALSE)))))</f>
        <v>126.00998634072877</v>
      </c>
      <c r="C152" s="25">
        <f t="shared" si="24"/>
        <v>900.34443230599948</v>
      </c>
      <c r="D152" s="26">
        <f t="shared" si="25"/>
        <v>0.26079934138352956</v>
      </c>
      <c r="E152" s="26">
        <f>IF(A152&gt;200,"",IF($C$1='Adj-Mixed'!$A$21,VLOOKUP(A152,'800'!$A$7:$AB$188,8,FALSE),IF($C$1='Adj-Mixed'!$A$20,VLOOKUP(A152,'800'!$A$7:$AB$188,17,FALSE),IF($C$1='Adj-Mixed'!$A$19,VLOOKUP(A152,'800'!$A$7:$AB$188,26,FALSE)))))</f>
        <v>3.8343655114121149</v>
      </c>
      <c r="F152" s="26">
        <f t="shared" si="21"/>
        <v>3.4522496396260438</v>
      </c>
      <c r="G152" s="27">
        <f t="shared" si="27"/>
        <v>309.0975035005593</v>
      </c>
      <c r="H152" s="1"/>
      <c r="I152" s="127">
        <f t="shared" si="26"/>
        <v>200.35462759527456</v>
      </c>
      <c r="J152" s="25">
        <f>IF(A152&gt;200,"",C152*'Adj-Barrows'!$C$6)</f>
        <v>1415.0581569168335</v>
      </c>
      <c r="K152" s="26">
        <f>IF(A152&gt;200,"",D152*'Adj-Barrows'!$C$7)</f>
        <v>0.16349565618963904</v>
      </c>
      <c r="L152" s="1">
        <f t="shared" si="22"/>
        <v>6.1163704486441972</v>
      </c>
      <c r="M152" s="26">
        <f t="shared" si="23"/>
        <v>8.655019894079043</v>
      </c>
      <c r="N152" s="30">
        <f t="shared" si="28"/>
        <v>774.92803860421179</v>
      </c>
    </row>
    <row r="153" spans="1:14" x14ac:dyDescent="0.25">
      <c r="A153" s="25">
        <f t="shared" si="20"/>
        <v>171</v>
      </c>
      <c r="B153" s="27">
        <f>IF(A153&gt;200,"",IF($C$1='Adj-Mixed'!$A$21,VLOOKUP(A153,'800'!$A$6:$AB$188,2,FALSE),IF($C$1='Adj-Mixed'!$A$20,VLOOKUP(A153,'800'!$A$6:$AB$188,11,FALSE),IF($C$1='Adj-Mixed'!$A$19,VLOOKUP(A153,'800'!$A$6:$AB$188,20,FALSE)))))</f>
        <v>126.90639005867635</v>
      </c>
      <c r="C153" s="25">
        <f t="shared" si="24"/>
        <v>896.40371794757812</v>
      </c>
      <c r="D153" s="26">
        <f t="shared" si="25"/>
        <v>0.25929464757395432</v>
      </c>
      <c r="E153" s="26">
        <f>IF(A153&gt;200,"",IF($C$1='Adj-Mixed'!$A$21,VLOOKUP(A153,'800'!$A$7:$AB$188,8,FALSE),IF($C$1='Adj-Mixed'!$A$20,VLOOKUP(A153,'800'!$A$7:$AB$188,17,FALSE),IF($C$1='Adj-Mixed'!$A$19,VLOOKUP(A153,'800'!$A$7:$AB$188,26,FALSE)))))</f>
        <v>3.8566164375405654</v>
      </c>
      <c r="F153" s="26">
        <f t="shared" si="21"/>
        <v>3.4570853133091064</v>
      </c>
      <c r="G153" s="27">
        <f t="shared" si="27"/>
        <v>312.55458881386841</v>
      </c>
      <c r="H153" s="1"/>
      <c r="I153" s="127">
        <f t="shared" si="26"/>
        <v>201.76349218915388</v>
      </c>
      <c r="J153" s="25">
        <f>IF(A153&gt;200,"",C153*'Adj-Barrows'!$C$6)</f>
        <v>1408.8645938793179</v>
      </c>
      <c r="K153" s="26">
        <f>IF(A153&gt;200,"",D153*'Adj-Barrows'!$C$7)</f>
        <v>0.1625523604724953</v>
      </c>
      <c r="L153" s="1">
        <f t="shared" si="22"/>
        <v>6.1518639107624962</v>
      </c>
      <c r="M153" s="26">
        <f t="shared" si="23"/>
        <v>8.6671432502372365</v>
      </c>
      <c r="N153" s="30">
        <f t="shared" si="28"/>
        <v>783.59518185444904</v>
      </c>
    </row>
    <row r="154" spans="1:14" x14ac:dyDescent="0.25">
      <c r="A154" s="25">
        <f t="shared" si="20"/>
        <v>172</v>
      </c>
      <c r="B154" s="27">
        <f>IF(A154&gt;200,"",IF($C$1='Adj-Mixed'!$A$21,VLOOKUP(A154,'800'!$A$6:$AB$188,2,FALSE),IF($C$1='Adj-Mixed'!$A$20,VLOOKUP(A154,'800'!$A$6:$AB$188,11,FALSE),IF($C$1='Adj-Mixed'!$A$19,VLOOKUP(A154,'800'!$A$6:$AB$188,20,FALSE)))))</f>
        <v>127.79881997459252</v>
      </c>
      <c r="C154" s="25">
        <f t="shared" si="24"/>
        <v>892.42991591616772</v>
      </c>
      <c r="D154" s="26">
        <f t="shared" si="25"/>
        <v>0.25779529874599494</v>
      </c>
      <c r="E154" s="26">
        <f>IF(A154&gt;200,"",IF($C$1='Adj-Mixed'!$A$21,VLOOKUP(A154,'800'!$A$7:$AB$188,8,FALSE),IF($C$1='Adj-Mixed'!$A$20,VLOOKUP(A154,'800'!$A$7:$AB$188,17,FALSE),IF($C$1='Adj-Mixed'!$A$19,VLOOKUP(A154,'800'!$A$7:$AB$188,26,FALSE)))))</f>
        <v>3.8790466888432182</v>
      </c>
      <c r="F154" s="26">
        <f t="shared" si="21"/>
        <v>3.461777310359242</v>
      </c>
      <c r="G154" s="27">
        <f t="shared" si="27"/>
        <v>316.01636612422766</v>
      </c>
      <c r="H154" s="1"/>
      <c r="I154" s="127">
        <f t="shared" si="26"/>
        <v>203.16611121658468</v>
      </c>
      <c r="J154" s="25">
        <f>IF(A154&gt;200,"",C154*'Adj-Barrows'!$C$6)</f>
        <v>1402.6190274308003</v>
      </c>
      <c r="K154" s="26">
        <f>IF(A154&gt;200,"",D154*'Adj-Barrows'!$C$7)</f>
        <v>0.16161241553557967</v>
      </c>
      <c r="L154" s="1">
        <f t="shared" si="22"/>
        <v>6.1876434226047792</v>
      </c>
      <c r="M154" s="26">
        <f t="shared" si="23"/>
        <v>8.6789063995025035</v>
      </c>
      <c r="N154" s="30">
        <f t="shared" si="28"/>
        <v>792.2740882539515</v>
      </c>
    </row>
    <row r="155" spans="1:14" x14ac:dyDescent="0.25">
      <c r="A155" s="25">
        <f t="shared" si="20"/>
        <v>173</v>
      </c>
      <c r="B155" s="27">
        <f>IF(A155&gt;200,"",IF($C$1='Adj-Mixed'!$A$21,VLOOKUP(A155,'800'!$A$6:$AB$188,2,FALSE),IF($C$1='Adj-Mixed'!$A$20,VLOOKUP(A155,'800'!$A$6:$AB$188,11,FALSE),IF($C$1='Adj-Mixed'!$A$19,VLOOKUP(A155,'800'!$A$6:$AB$188,20,FALSE)))))</f>
        <v>128.68724449866386</v>
      </c>
      <c r="C155" s="25">
        <f t="shared" si="24"/>
        <v>888.42452407133976</v>
      </c>
      <c r="D155" s="26">
        <f t="shared" si="25"/>
        <v>0.25630120680173485</v>
      </c>
      <c r="E155" s="26">
        <f>IF(A155&gt;200,"",IF($C$1='Adj-Mixed'!$A$21,VLOOKUP(A155,'800'!$A$7:$AB$188,8,FALSE),IF($C$1='Adj-Mixed'!$A$20,VLOOKUP(A155,'800'!$A$7:$AB$188,17,FALSE),IF($C$1='Adj-Mixed'!$A$19,VLOOKUP(A155,'800'!$A$7:$AB$188,26,FALSE)))))</f>
        <v>3.9016593502564469</v>
      </c>
      <c r="F155" s="26">
        <f t="shared" si="21"/>
        <v>3.4663298513400762</v>
      </c>
      <c r="G155" s="27">
        <f t="shared" si="27"/>
        <v>319.48269597556771</v>
      </c>
      <c r="H155" s="1"/>
      <c r="I155" s="127">
        <f t="shared" si="26"/>
        <v>204.56243502831992</v>
      </c>
      <c r="J155" s="25">
        <f>IF(A155&gt;200,"",C155*'Adj-Barrows'!$C$6)</f>
        <v>1396.32381173523</v>
      </c>
      <c r="K155" s="26">
        <f>IF(A155&gt;200,"",D155*'Adj-Barrows'!$C$7)</f>
        <v>0.16067576615012272</v>
      </c>
      <c r="L155" s="1">
        <f t="shared" si="22"/>
        <v>6.2237139050930628</v>
      </c>
      <c r="M155" s="26">
        <f t="shared" si="23"/>
        <v>8.6903199231090991</v>
      </c>
      <c r="N155" s="30">
        <f t="shared" si="28"/>
        <v>800.96440817706059</v>
      </c>
    </row>
    <row r="156" spans="1:14" x14ac:dyDescent="0.25">
      <c r="A156" s="25">
        <f t="shared" si="20"/>
        <v>174</v>
      </c>
      <c r="B156" s="27">
        <f>IF(A156&gt;200,"",IF($C$1='Adj-Mixed'!$A$21,VLOOKUP(A156,'800'!$A$6:$AB$188,2,FALSE),IF($C$1='Adj-Mixed'!$A$20,VLOOKUP(A156,'800'!$A$6:$AB$188,11,FALSE),IF($C$1='Adj-Mixed'!$A$19,VLOOKUP(A156,'800'!$A$6:$AB$188,20,FALSE)))))</f>
        <v>129.57163351226765</v>
      </c>
      <c r="C156" s="25">
        <f t="shared" si="24"/>
        <v>884.38901360379418</v>
      </c>
      <c r="D156" s="26">
        <f t="shared" si="25"/>
        <v>0.25481229289779789</v>
      </c>
      <c r="E156" s="26">
        <f>IF(A156&gt;200,"",IF($C$1='Adj-Mixed'!$A$21,VLOOKUP(A156,'800'!$A$7:$AB$188,8,FALSE),IF($C$1='Adj-Mixed'!$A$20,VLOOKUP(A156,'800'!$A$7:$AB$188,17,FALSE),IF($C$1='Adj-Mixed'!$A$19,VLOOKUP(A156,'800'!$A$7:$AB$188,26,FALSE)))))</f>
        <v>3.9244574452343546</v>
      </c>
      <c r="F156" s="26">
        <f t="shared" si="21"/>
        <v>3.4707470489208769</v>
      </c>
      <c r="G156" s="27">
        <f t="shared" si="27"/>
        <v>322.95344302448859</v>
      </c>
      <c r="H156" s="1"/>
      <c r="I156" s="127">
        <f t="shared" si="26"/>
        <v>205.95241628736142</v>
      </c>
      <c r="J156" s="25">
        <f>IF(A156&gt;200,"",C156*'Adj-Barrows'!$C$6)</f>
        <v>1389.9812590414817</v>
      </c>
      <c r="K156" s="26">
        <f>IF(A156&gt;200,"",D156*'Adj-Barrows'!$C$7)</f>
        <v>0.159742362889046</v>
      </c>
      <c r="L156" s="1">
        <f t="shared" si="22"/>
        <v>6.260080181076205</v>
      </c>
      <c r="M156" s="26">
        <f t="shared" si="23"/>
        <v>8.7013941317929309</v>
      </c>
      <c r="N156" s="30">
        <f t="shared" si="28"/>
        <v>809.66580230885347</v>
      </c>
    </row>
    <row r="157" spans="1:14" x14ac:dyDescent="0.25">
      <c r="A157" s="25">
        <f t="shared" si="20"/>
        <v>175</v>
      </c>
      <c r="B157" s="27">
        <f>IF(A157&gt;200,"",IF($C$1='Adj-Mixed'!$A$21,VLOOKUP(A157,'800'!$A$6:$AB$188,2,FALSE),IF($C$1='Adj-Mixed'!$A$20,VLOOKUP(A157,'800'!$A$6:$AB$188,11,FALSE),IF($C$1='Adj-Mixed'!$A$19,VLOOKUP(A157,'800'!$A$6:$AB$188,20,FALSE)))))</f>
        <v>130.45195834133372</v>
      </c>
      <c r="C157" s="25">
        <f t="shared" si="24"/>
        <v>880.32482906606901</v>
      </c>
      <c r="D157" s="26">
        <f t="shared" si="25"/>
        <v>0.25332848696176075</v>
      </c>
      <c r="E157" s="26">
        <f>IF(A157&gt;200,"",IF($C$1='Adj-Mixed'!$A$21,VLOOKUP(A157,'800'!$A$7:$AB$188,8,FALSE),IF($C$1='Adj-Mixed'!$A$20,VLOOKUP(A157,'800'!$A$7:$AB$188,17,FALSE),IF($C$1='Adj-Mixed'!$A$19,VLOOKUP(A157,'800'!$A$7:$AB$188,26,FALSE)))))</f>
        <v>3.947443937289798</v>
      </c>
      <c r="F157" s="26">
        <f t="shared" si="21"/>
        <v>3.4750329093425321</v>
      </c>
      <c r="G157" s="27">
        <f t="shared" si="27"/>
        <v>326.42847593383112</v>
      </c>
      <c r="H157" s="1"/>
      <c r="I157" s="127">
        <f t="shared" si="26"/>
        <v>207.33600992709304</v>
      </c>
      <c r="J157" s="25">
        <f>IF(A157&gt;200,"",C157*'Adj-Barrows'!$C$6)</f>
        <v>1383.5936397316211</v>
      </c>
      <c r="K157" s="26">
        <f>IF(A157&gt;200,"",D157*'Adj-Barrows'!$C$7)</f>
        <v>0.15881216182379976</v>
      </c>
      <c r="L157" s="1">
        <f t="shared" si="22"/>
        <v>6.2967469777880636</v>
      </c>
      <c r="M157" s="26">
        <f t="shared" si="23"/>
        <v>8.7121390694668719</v>
      </c>
      <c r="N157" s="30">
        <f t="shared" si="28"/>
        <v>818.37794137832032</v>
      </c>
    </row>
    <row r="158" spans="1:14" x14ac:dyDescent="0.25">
      <c r="A158" s="25">
        <f t="shared" si="20"/>
        <v>176</v>
      </c>
      <c r="B158" s="27">
        <f>IF(A158&gt;200,"",IF($C$1='Adj-Mixed'!$A$21,VLOOKUP(A158,'800'!$A$6:$AB$188,2,FALSE),IF($C$1='Adj-Mixed'!$A$20,VLOOKUP(A158,'800'!$A$6:$AB$188,11,FALSE),IF($C$1='Adj-Mixed'!$A$19,VLOOKUP(A158,'800'!$A$6:$AB$188,20,FALSE)))))</f>
        <v>131.32819172975684</v>
      </c>
      <c r="C158" s="25">
        <f t="shared" si="24"/>
        <v>876.23338842311682</v>
      </c>
      <c r="D158" s="26">
        <f t="shared" si="25"/>
        <v>0.25184972722537208</v>
      </c>
      <c r="E158" s="26">
        <f>IF(A158&gt;200,"",IF($C$1='Adj-Mixed'!$A$21,VLOOKUP(A158,'800'!$A$7:$AB$188,8,FALSE),IF($C$1='Adj-Mixed'!$A$20,VLOOKUP(A158,'800'!$A$7:$AB$188,17,FALSE),IF($C$1='Adj-Mixed'!$A$19,VLOOKUP(A158,'800'!$A$7:$AB$188,26,FALSE)))))</f>
        <v>3.9706217315261685</v>
      </c>
      <c r="F158" s="26">
        <f t="shared" si="21"/>
        <v>3.479191333961638</v>
      </c>
      <c r="G158" s="27">
        <f t="shared" si="27"/>
        <v>329.90766726779276</v>
      </c>
      <c r="H158" s="1"/>
      <c r="I158" s="127">
        <f t="shared" si="26"/>
        <v>208.71317310949345</v>
      </c>
      <c r="J158" s="25">
        <f>IF(A158&gt;200,"",C158*'Adj-Barrows'!$C$6)</f>
        <v>1377.1631824003953</v>
      </c>
      <c r="K158" s="26">
        <f>IF(A158&gt;200,"",D158*'Adj-Barrows'!$C$7)</f>
        <v>0.15788512423173723</v>
      </c>
      <c r="L158" s="1">
        <f t="shared" si="22"/>
        <v>6.3337189292909031</v>
      </c>
      <c r="M158" s="26">
        <f t="shared" si="23"/>
        <v>8.722564517091886</v>
      </c>
      <c r="N158" s="30">
        <f t="shared" si="28"/>
        <v>827.1005058954122</v>
      </c>
    </row>
    <row r="159" spans="1:14" x14ac:dyDescent="0.25">
      <c r="A159" s="25">
        <f t="shared" si="20"/>
        <v>177</v>
      </c>
      <c r="B159" s="27">
        <f>IF(A159&gt;200,"",IF($C$1='Adj-Mixed'!$A$21,VLOOKUP(A159,'800'!$A$6:$AB$188,2,FALSE),IF($C$1='Adj-Mixed'!$A$20,VLOOKUP(A159,'800'!$A$6:$AB$188,11,FALSE),IF($C$1='Adj-Mixed'!$A$19,VLOOKUP(A159,'800'!$A$6:$AB$188,20,FALSE)))))</f>
        <v>132.20030781287636</v>
      </c>
      <c r="C159" s="25">
        <f t="shared" si="24"/>
        <v>872.11608311952205</v>
      </c>
      <c r="D159" s="26">
        <f t="shared" si="25"/>
        <v>0.25037595977353932</v>
      </c>
      <c r="E159" s="26">
        <f>IF(A159&gt;200,"",IF($C$1='Adj-Mixed'!$A$21,VLOOKUP(A159,'800'!$A$7:$AB$188,8,FALSE),IF($C$1='Adj-Mixed'!$A$20,VLOOKUP(A159,'800'!$A$7:$AB$188,17,FALSE),IF($C$1='Adj-Mixed'!$A$19,VLOOKUP(A159,'800'!$A$7:$AB$188,26,FALSE)))))</f>
        <v>3.9939936761679613</v>
      </c>
      <c r="F159" s="26">
        <f t="shared" si="21"/>
        <v>3.4832261208637432</v>
      </c>
      <c r="G159" s="27">
        <f t="shared" si="27"/>
        <v>333.39089338865648</v>
      </c>
      <c r="H159" s="1"/>
      <c r="I159" s="127">
        <f t="shared" si="26"/>
        <v>210.08386518345432</v>
      </c>
      <c r="J159" s="25">
        <f>IF(A159&gt;200,"",C159*'Adj-Barrows'!$C$6)</f>
        <v>1370.692073960877</v>
      </c>
      <c r="K159" s="26">
        <f>IF(A159&gt;200,"",D159*'Adj-Barrows'!$C$7)</f>
        <v>0.15696121631337334</v>
      </c>
      <c r="L159" s="1">
        <f t="shared" si="22"/>
        <v>6.3710005789168855</v>
      </c>
      <c r="M159" s="26">
        <f t="shared" si="23"/>
        <v>8.7326799967215329</v>
      </c>
      <c r="N159" s="30">
        <f t="shared" si="28"/>
        <v>835.83318589213377</v>
      </c>
    </row>
    <row r="160" spans="1:14" x14ac:dyDescent="0.25">
      <c r="A160" s="25">
        <f t="shared" si="20"/>
        <v>178</v>
      </c>
      <c r="B160" s="27">
        <f>IF(A160&gt;200,"",IF($C$1='Adj-Mixed'!$A$21,VLOOKUP(A160,'800'!$A$6:$AB$188,2,FALSE),IF($C$1='Adj-Mixed'!$A$20,VLOOKUP(A160,'800'!$A$6:$AB$188,11,FALSE),IF($C$1='Adj-Mixed'!$A$19,VLOOKUP(A160,'800'!$A$6:$AB$188,20,FALSE)))))</f>
        <v>133.06828209104066</v>
      </c>
      <c r="C160" s="25">
        <f t="shared" si="24"/>
        <v>867.97427816429717</v>
      </c>
      <c r="D160" s="26">
        <f t="shared" si="25"/>
        <v>0.2489071381092445</v>
      </c>
      <c r="E160" s="26">
        <f>IF(A160&gt;200,"",IF($C$1='Adj-Mixed'!$A$21,VLOOKUP(A160,'800'!$A$7:$AB$188,8,FALSE),IF($C$1='Adj-Mixed'!$A$20,VLOOKUP(A160,'800'!$A$7:$AB$188,17,FALSE),IF($C$1='Adj-Mixed'!$A$19,VLOOKUP(A160,'800'!$A$7:$AB$188,26,FALSE)))))</f>
        <v>4.0175625640800359</v>
      </c>
      <c r="F160" s="26">
        <f t="shared" si="21"/>
        <v>3.4871409665372721</v>
      </c>
      <c r="G160" s="27">
        <f t="shared" si="27"/>
        <v>336.87803435519373</v>
      </c>
      <c r="H160" s="1"/>
      <c r="I160" s="127">
        <f t="shared" si="26"/>
        <v>211.44804764323206</v>
      </c>
      <c r="J160" s="25">
        <f>IF(A160&gt;200,"",C160*'Adj-Barrows'!$C$6)</f>
        <v>1364.1824597777377</v>
      </c>
      <c r="K160" s="26">
        <f>IF(A160&gt;200,"",D160*'Adj-Barrows'!$C$7)</f>
        <v>0.15604040891962964</v>
      </c>
      <c r="L160" s="1">
        <f t="shared" si="22"/>
        <v>6.4085963816914964</v>
      </c>
      <c r="M160" s="26">
        <f t="shared" si="23"/>
        <v>8.7424947756986153</v>
      </c>
      <c r="N160" s="30">
        <f t="shared" si="28"/>
        <v>844.57568066783233</v>
      </c>
    </row>
    <row r="161" spans="1:14" x14ac:dyDescent="0.25">
      <c r="A161" s="25">
        <f t="shared" si="20"/>
        <v>179</v>
      </c>
      <c r="B161" s="27">
        <f>IF(A161&gt;200,"",IF($C$1='Adj-Mixed'!$A$21,VLOOKUP(A161,'800'!$A$6:$AB$188,2,FALSE),IF($C$1='Adj-Mixed'!$A$20,VLOOKUP(A161,'800'!$A$6:$AB$188,11,FALSE),IF($C$1='Adj-Mixed'!$A$19,VLOOKUP(A161,'800'!$A$6:$AB$188,20,FALSE)))))</f>
        <v>133.93209140327315</v>
      </c>
      <c r="C161" s="25">
        <f t="shared" si="24"/>
        <v>863.80931223249036</v>
      </c>
      <c r="D161" s="26">
        <f t="shared" si="25"/>
        <v>0.24744322273405078</v>
      </c>
      <c r="E161" s="26">
        <f>IF(A161&gt;200,"",IF($C$1='Adj-Mixed'!$A$21,VLOOKUP(A161,'800'!$A$7:$AB$188,8,FALSE),IF($C$1='Adj-Mixed'!$A$20,VLOOKUP(A161,'800'!$A$7:$AB$188,17,FALSE),IF($C$1='Adj-Mixed'!$A$19,VLOOKUP(A161,'800'!$A$7:$AB$188,26,FALSE)))))</f>
        <v>4.0413311342731291</v>
      </c>
      <c r="F161" s="26">
        <f t="shared" si="21"/>
        <v>3.4909394676002217</v>
      </c>
      <c r="G161" s="27">
        <f t="shared" si="27"/>
        <v>340.36897382279398</v>
      </c>
      <c r="H161" s="1"/>
      <c r="I161" s="127">
        <f t="shared" si="26"/>
        <v>212.80568408705901</v>
      </c>
      <c r="J161" s="25">
        <f>IF(A161&gt;200,"",C161*'Adj-Barrows'!$C$6)</f>
        <v>1357.6364438269434</v>
      </c>
      <c r="K161" s="26">
        <f>IF(A161&gt;200,"",D161*'Adj-Barrows'!$C$7)</f>
        <v>0.15512267728885293</v>
      </c>
      <c r="L161" s="1">
        <f t="shared" si="22"/>
        <v>6.4465107067350731</v>
      </c>
      <c r="M161" s="26">
        <f t="shared" si="23"/>
        <v>8.7520178709841208</v>
      </c>
      <c r="N161" s="30">
        <f t="shared" si="28"/>
        <v>853.32769853881643</v>
      </c>
    </row>
    <row r="162" spans="1:14" x14ac:dyDescent="0.25">
      <c r="A162" s="25">
        <f t="shared" si="20"/>
        <v>180</v>
      </c>
      <c r="B162" s="27">
        <f>IF(A162&gt;200,"",IF($C$1='Adj-Mixed'!$A$21,VLOOKUP(A162,'800'!$A$6:$AB$188,2,FALSE),IF($C$1='Adj-Mixed'!$A$20,VLOOKUP(A162,'800'!$A$6:$AB$188,11,FALSE),IF($C$1='Adj-Mixed'!$A$19,VLOOKUP(A162,'800'!$A$6:$AB$188,20,FALSE)))))</f>
        <v>134.79171390105421</v>
      </c>
      <c r="C162" s="25">
        <f t="shared" si="24"/>
        <v>859.6224977810607</v>
      </c>
      <c r="D162" s="26">
        <f t="shared" si="25"/>
        <v>0.24598418074335643</v>
      </c>
      <c r="E162" s="26">
        <f>IF(A162&gt;200,"",IF($C$1='Adj-Mixed'!$A$21,VLOOKUP(A162,'800'!$A$7:$AB$188,8,FALSE),IF($C$1='Adj-Mixed'!$A$20,VLOOKUP(A162,'800'!$A$7:$AB$188,17,FALSE),IF($C$1='Adj-Mixed'!$A$19,VLOOKUP(A162,'800'!$A$7:$AB$188,26,FALSE)))))</f>
        <v>4.0653020734017593</v>
      </c>
      <c r="F162" s="26">
        <f t="shared" si="21"/>
        <v>3.4946251225721454</v>
      </c>
      <c r="G162" s="27">
        <f t="shared" si="27"/>
        <v>343.86359894536611</v>
      </c>
      <c r="H162" s="1"/>
      <c r="I162" s="127">
        <f t="shared" si="26"/>
        <v>214.15674017593687</v>
      </c>
      <c r="J162" s="25">
        <f>IF(A162&gt;200,"",C162*'Adj-Barrows'!$C$6)</f>
        <v>1351.056088877873</v>
      </c>
      <c r="K162" s="26">
        <f>IF(A162&gt;200,"",D162*'Adj-Barrows'!$C$7)</f>
        <v>0.15420800079307911</v>
      </c>
      <c r="L162" s="1">
        <f t="shared" si="22"/>
        <v>6.4847478396521705</v>
      </c>
      <c r="M162" s="26">
        <f t="shared" si="23"/>
        <v>8.7612580535996969</v>
      </c>
      <c r="N162" s="30">
        <f t="shared" si="28"/>
        <v>862.08895659241614</v>
      </c>
    </row>
    <row r="163" spans="1:14" x14ac:dyDescent="0.25">
      <c r="A163" s="25">
        <f t="shared" si="20"/>
        <v>181</v>
      </c>
      <c r="B163" s="27">
        <f>IF(A163&gt;200,"",IF($C$1='Adj-Mixed'!$A$21,VLOOKUP(A163,'800'!$A$6:$AB$188,2,FALSE),IF($C$1='Adj-Mixed'!$A$20,VLOOKUP(A163,'800'!$A$6:$AB$188,11,FALSE),IF($C$1='Adj-Mixed'!$A$19,VLOOKUP(A163,'800'!$A$6:$AB$188,20,FALSE)))))</f>
        <v>135.64712902223519</v>
      </c>
      <c r="C163" s="25">
        <f t="shared" si="24"/>
        <v>855.4151211809824</v>
      </c>
      <c r="D163" s="26">
        <f t="shared" si="25"/>
        <v>0.24452998543683638</v>
      </c>
      <c r="E163" s="26">
        <f>IF(A163&gt;200,"",IF($C$1='Adj-Mixed'!$A$21,VLOOKUP(A163,'800'!$A$7:$AB$188,8,FALSE),IF($C$1='Adj-Mixed'!$A$20,VLOOKUP(A163,'800'!$A$7:$AB$188,17,FALSE),IF($C$1='Adj-Mixed'!$A$19,VLOOKUP(A163,'800'!$A$7:$AB$188,26,FALSE)))))</f>
        <v>4.0894780172401646</v>
      </c>
      <c r="F163" s="26">
        <f t="shared" si="21"/>
        <v>3.4982013336844591</v>
      </c>
      <c r="G163" s="27">
        <f t="shared" si="27"/>
        <v>347.36180027905056</v>
      </c>
      <c r="H163" s="1"/>
      <c r="I163" s="127">
        <f t="shared" si="26"/>
        <v>215.50118359263783</v>
      </c>
      <c r="J163" s="25">
        <f>IF(A163&gt;200,"",C163*'Adj-Barrows'!$C$6)</f>
        <v>1344.4434167009451</v>
      </c>
      <c r="K163" s="26">
        <f>IF(A163&gt;200,"",D163*'Adj-Barrows'!$C$7)</f>
        <v>0.15329636269381816</v>
      </c>
      <c r="L163" s="1">
        <f t="shared" si="22"/>
        <v>6.5233119848859014</v>
      </c>
      <c r="M163" s="26">
        <f t="shared" si="23"/>
        <v>8.7702238531662253</v>
      </c>
      <c r="N163" s="30">
        <f t="shared" si="28"/>
        <v>870.85918044558241</v>
      </c>
    </row>
    <row r="164" spans="1:14" x14ac:dyDescent="0.25">
      <c r="A164" s="25">
        <f t="shared" si="20"/>
        <v>182</v>
      </c>
      <c r="B164" s="27">
        <f>IF(A164&gt;200,"",IF($C$1='Adj-Mixed'!$A$21,VLOOKUP(A164,'800'!$A$6:$AB$188,2,FALSE),IF($C$1='Adj-Mixed'!$A$20,VLOOKUP(A164,'800'!$A$6:$AB$188,11,FALSE),IF($C$1='Adj-Mixed'!$A$19,VLOOKUP(A164,'800'!$A$6:$AB$188,20,FALSE)))))</f>
        <v>136.49831746509713</v>
      </c>
      <c r="C164" s="25">
        <f t="shared" si="24"/>
        <v>851.18844286193962</v>
      </c>
      <c r="D164" s="26">
        <f t="shared" si="25"/>
        <v>0.24308061594290742</v>
      </c>
      <c r="E164" s="26">
        <f>IF(A164&gt;200,"",IF($C$1='Adj-Mixed'!$A$21,VLOOKUP(A164,'800'!$A$7:$AB$188,8,FALSE),IF($C$1='Adj-Mixed'!$A$20,VLOOKUP(A164,'800'!$A$7:$AB$188,17,FALSE),IF($C$1='Adj-Mixed'!$A$19,VLOOKUP(A164,'800'!$A$7:$AB$188,26,FALSE)))))</f>
        <v>4.1138615521480784</v>
      </c>
      <c r="F164" s="26">
        <f t="shared" si="21"/>
        <v>3.5016714087225251</v>
      </c>
      <c r="G164" s="27">
        <f t="shared" si="27"/>
        <v>350.86347168777309</v>
      </c>
      <c r="H164" s="1"/>
      <c r="I164" s="127">
        <f t="shared" si="26"/>
        <v>216.83898400093287</v>
      </c>
      <c r="J164" s="25">
        <f>IF(A164&gt;200,"",C164*'Adj-Barrows'!$C$6)</f>
        <v>1337.8004082950329</v>
      </c>
      <c r="K164" s="26">
        <f>IF(A164&gt;200,"",D164*'Adj-Barrows'!$C$7)</f>
        <v>0.15238774990663062</v>
      </c>
      <c r="L164" s="1">
        <f t="shared" si="22"/>
        <v>6.5622072680560555</v>
      </c>
      <c r="M164" s="26">
        <f t="shared" si="23"/>
        <v>8.7789235625220226</v>
      </c>
      <c r="N164" s="30">
        <f t="shared" si="28"/>
        <v>879.63810400810439</v>
      </c>
    </row>
    <row r="165" spans="1:14" x14ac:dyDescent="0.25">
      <c r="A165" s="25">
        <f t="shared" si="20"/>
        <v>183</v>
      </c>
      <c r="B165" s="27">
        <f>IF(A165&gt;200,"",IF($C$1='Adj-Mixed'!$A$21,VLOOKUP(A165,'800'!$A$6:$AB$188,2,FALSE),IF($C$1='Adj-Mixed'!$A$20,VLOOKUP(A165,'800'!$A$6:$AB$188,11,FALSE),IF($C$1='Adj-Mixed'!$A$19,VLOOKUP(A165,'800'!$A$6:$AB$188,20,FALSE)))))</f>
        <v>137.34526116256862</v>
      </c>
      <c r="C165" s="25">
        <f t="shared" si="24"/>
        <v>846.94369747148812</v>
      </c>
      <c r="D165" s="26">
        <f t="shared" si="25"/>
        <v>0.24163605685762607</v>
      </c>
      <c r="E165" s="26">
        <f>IF(A165&gt;200,"",IF($C$1='Adj-Mixed'!$A$21,VLOOKUP(A165,'800'!$A$7:$AB$188,8,FALSE),IF($C$1='Adj-Mixed'!$A$20,VLOOKUP(A165,'800'!$A$7:$AB$188,17,FALSE),IF($C$1='Adj-Mixed'!$A$19,VLOOKUP(A165,'800'!$A$7:$AB$188,26,FALSE)))))</f>
        <v>4.1384552165126918</v>
      </c>
      <c r="F165" s="26">
        <f t="shared" si="21"/>
        <v>3.5050385628934273</v>
      </c>
      <c r="G165" s="27">
        <f t="shared" si="27"/>
        <v>354.36851025066653</v>
      </c>
      <c r="H165" s="1"/>
      <c r="I165" s="127">
        <f t="shared" si="26"/>
        <v>218.17011300507048</v>
      </c>
      <c r="J165" s="25">
        <f>IF(A165&gt;200,"",C165*'Adj-Barrows'!$C$6)</f>
        <v>1331.1290041376158</v>
      </c>
      <c r="K165" s="26">
        <f>IF(A165&gt;200,"",D165*'Adj-Barrows'!$C$7)</f>
        <v>0.15148215277475191</v>
      </c>
      <c r="L165" s="1">
        <f t="shared" si="22"/>
        <v>6.6014377382592473</v>
      </c>
      <c r="M165" s="26">
        <f t="shared" si="23"/>
        <v>8.7873652424055066</v>
      </c>
      <c r="N165" s="30">
        <f t="shared" si="28"/>
        <v>888.42546925050988</v>
      </c>
    </row>
    <row r="166" spans="1:14" x14ac:dyDescent="0.25">
      <c r="A166" s="25">
        <f t="shared" si="20"/>
        <v>184</v>
      </c>
      <c r="B166" s="27">
        <f>IF(A166&gt;200,"",IF($C$1='Adj-Mixed'!$A$21,VLOOKUP(A166,'800'!$A$6:$AB$188,2,FALSE),IF($C$1='Adj-Mixed'!$A$20,VLOOKUP(A166,'800'!$A$6:$AB$188,11,FALSE),IF($C$1='Adj-Mixed'!$A$19,VLOOKUP(A166,'800'!$A$6:$AB$188,20,FALSE)))))</f>
        <v>138.1879432566148</v>
      </c>
      <c r="C166" s="25">
        <f t="shared" si="24"/>
        <v>842.68209404618233</v>
      </c>
      <c r="D166" s="26">
        <f t="shared" si="25"/>
        <v>0.2401962978971752</v>
      </c>
      <c r="E166" s="26">
        <f>IF(A166&gt;200,"",IF($C$1='Adj-Mixed'!$A$21,VLOOKUP(A166,'800'!$A$7:$AB$188,8,FALSE),IF($C$1='Adj-Mixed'!$A$20,VLOOKUP(A166,'800'!$A$7:$AB$188,17,FALSE),IF($C$1='Adj-Mixed'!$A$19,VLOOKUP(A166,'800'!$A$7:$AB$188,26,FALSE)))))</f>
        <v>4.1632615021738868</v>
      </c>
      <c r="F166" s="26">
        <f t="shared" si="21"/>
        <v>3.5083059207137457</v>
      </c>
      <c r="G166" s="27">
        <f t="shared" si="27"/>
        <v>357.87681617138026</v>
      </c>
      <c r="H166" s="1"/>
      <c r="I166" s="127">
        <f t="shared" si="26"/>
        <v>219.49454410952421</v>
      </c>
      <c r="J166" s="25">
        <f>IF(A166&gt;200,"",C166*'Adj-Barrows'!$C$6)</f>
        <v>1324.4311044537378</v>
      </c>
      <c r="K166" s="26">
        <f>IF(A166&gt;200,"",D166*'Adj-Barrows'!$C$7)</f>
        <v>0.15057956485123544</v>
      </c>
      <c r="L166" s="1">
        <f t="shared" si="22"/>
        <v>6.6410073703423604</v>
      </c>
      <c r="M166" s="26">
        <f t="shared" si="23"/>
        <v>8.7955567261879448</v>
      </c>
      <c r="N166" s="30">
        <f t="shared" si="28"/>
        <v>897.22102597669777</v>
      </c>
    </row>
    <row r="167" spans="1:14" x14ac:dyDescent="0.25">
      <c r="A167" s="25">
        <f t="shared" si="20"/>
        <v>185</v>
      </c>
      <c r="B167" s="27">
        <f>IF(A167&gt;200,"",IF($C$1='Adj-Mixed'!$A$21,VLOOKUP(A167,'800'!$A$6:$AB$188,2,FALSE),IF($C$1='Adj-Mixed'!$A$20,VLOOKUP(A167,'800'!$A$6:$AB$188,11,FALSE),IF($C$1='Adj-Mixed'!$A$19,VLOOKUP(A167,'800'!$A$6:$AB$188,20,FALSE)))))</f>
        <v>139.02634807280987</v>
      </c>
      <c r="C167" s="25">
        <f t="shared" si="24"/>
        <v>838.40481619506591</v>
      </c>
      <c r="D167" s="26">
        <f t="shared" si="25"/>
        <v>0.23876133356391774</v>
      </c>
      <c r="E167" s="26">
        <f>IF(A167&gt;200,"",IF($C$1='Adj-Mixed'!$A$21,VLOOKUP(A167,'800'!$A$7:$AB$188,8,FALSE),IF($C$1='Adj-Mixed'!$A$20,VLOOKUP(A167,'800'!$A$7:$AB$188,17,FALSE),IF($C$1='Adj-Mixed'!$A$19,VLOOKUP(A167,'800'!$A$7:$AB$188,26,FALSE)))))</f>
        <v>4.1882828558263787</v>
      </c>
      <c r="F167" s="26">
        <f t="shared" si="21"/>
        <v>3.5114765179120608</v>
      </c>
      <c r="G167" s="27">
        <f t="shared" si="27"/>
        <v>361.38829268929231</v>
      </c>
      <c r="H167" s="1"/>
      <c r="I167" s="127">
        <f t="shared" si="26"/>
        <v>220.8122526790286</v>
      </c>
      <c r="J167" s="25">
        <f>IF(A167&gt;200,"",C167*'Adj-Barrows'!$C$6)</f>
        <v>1317.7085695043963</v>
      </c>
      <c r="K167" s="26">
        <f>IF(A167&gt;200,"",D167*'Adj-Barrows'!$C$7)</f>
        <v>0.14967998268960089</v>
      </c>
      <c r="L167" s="1">
        <f t="shared" si="22"/>
        <v>6.6809200671391817</v>
      </c>
      <c r="M167" s="26">
        <f t="shared" si="23"/>
        <v>8.8035056246431882</v>
      </c>
      <c r="N167" s="30">
        <f t="shared" si="28"/>
        <v>906.02453160134098</v>
      </c>
    </row>
    <row r="168" spans="1:14" x14ac:dyDescent="0.25">
      <c r="A168" s="25">
        <f t="shared" si="20"/>
        <v>186</v>
      </c>
      <c r="B168" s="27">
        <f>IF(A168&gt;200,"",IF($C$1='Adj-Mixed'!$A$21,VLOOKUP(A168,'800'!$A$6:$AB$188,2,FALSE),IF($C$1='Adj-Mixed'!$A$20,VLOOKUP(A168,'800'!$A$6:$AB$188,11,FALSE),IF($C$1='Adj-Mixed'!$A$19,VLOOKUP(A168,'800'!$A$6:$AB$188,20,FALSE)))))</f>
        <v>139.86046109510337</v>
      </c>
      <c r="C168" s="25">
        <f t="shared" si="24"/>
        <v>834.11302229350781</v>
      </c>
      <c r="D168" s="26">
        <f t="shared" si="25"/>
        <v>0.23733116282530625</v>
      </c>
      <c r="E168" s="26">
        <f>IF(A168&gt;200,"",IF($C$1='Adj-Mixed'!$A$21,VLOOKUP(A168,'800'!$A$7:$AB$188,8,FALSE),IF($C$1='Adj-Mixed'!$A$20,VLOOKUP(A168,'800'!$A$7:$AB$188,17,FALSE),IF($C$1='Adj-Mixed'!$A$19,VLOOKUP(A168,'800'!$A$7:$AB$188,26,FALSE)))))</f>
        <v>4.2135216804043383</v>
      </c>
      <c r="F168" s="26">
        <f t="shared" si="21"/>
        <v>3.5145533033412821</v>
      </c>
      <c r="G168" s="27">
        <f t="shared" si="27"/>
        <v>364.90284599263362</v>
      </c>
      <c r="H168" s="1"/>
      <c r="I168" s="127">
        <f t="shared" si="26"/>
        <v>222.1232158989198</v>
      </c>
      <c r="J168" s="25">
        <f>IF(A168&gt;200,"",C168*'Adj-Barrows'!$C$6)</f>
        <v>1310.9632198911925</v>
      </c>
      <c r="K168" s="26">
        <f>IF(A168&gt;200,"",D168*'Adj-Barrows'!$C$7)</f>
        <v>0.14878340564254219</v>
      </c>
      <c r="L168" s="1">
        <f t="shared" si="22"/>
        <v>6.7211796616790593</v>
      </c>
      <c r="M168" s="26">
        <f t="shared" si="23"/>
        <v>8.8112193307419755</v>
      </c>
      <c r="N168" s="30">
        <f t="shared" si="28"/>
        <v>914.83575093208299</v>
      </c>
    </row>
    <row r="169" spans="1:14" x14ac:dyDescent="0.25">
      <c r="A169" s="25">
        <f t="shared" si="20"/>
        <v>187</v>
      </c>
      <c r="B169" s="27">
        <f>IF(A169&gt;200,"",IF($C$1='Adj-Mixed'!$A$21,VLOOKUP(A169,'800'!$A$6:$AB$188,2,FALSE),IF($C$1='Adj-Mixed'!$A$20,VLOOKUP(A169,'800'!$A$6:$AB$188,11,FALSE),IF($C$1='Adj-Mixed'!$A$19,VLOOKUP(A169,'800'!$A$6:$AB$188,20,FALSE)))))</f>
        <v>140.69026894079249</v>
      </c>
      <c r="C169" s="25">
        <f t="shared" si="24"/>
        <v>829.80784568911758</v>
      </c>
      <c r="D169" s="26">
        <f t="shared" si="25"/>
        <v>0.23590578880600099</v>
      </c>
      <c r="E169" s="26">
        <f>IF(A169&gt;200,"",IF($C$1='Adj-Mixed'!$A$21,VLOOKUP(A169,'800'!$A$7:$AB$188,8,FALSE),IF($C$1='Adj-Mixed'!$A$20,VLOOKUP(A169,'800'!$A$7:$AB$188,17,FALSE),IF($C$1='Adj-Mixed'!$A$19,VLOOKUP(A169,'800'!$A$7:$AB$188,26,FALSE)))))</f>
        <v>4.2389803364357368</v>
      </c>
      <c r="F169" s="26">
        <f t="shared" si="21"/>
        <v>3.5175391408962695</v>
      </c>
      <c r="G169" s="27">
        <f t="shared" si="27"/>
        <v>368.42038513352986</v>
      </c>
      <c r="H169" s="1"/>
      <c r="I169" s="127">
        <f t="shared" si="26"/>
        <v>223.42741273579975</v>
      </c>
      <c r="J169" s="25">
        <f>IF(A169&gt;200,"",C169*'Adj-Barrows'!$C$6)</f>
        <v>1304.1968368799635</v>
      </c>
      <c r="K169" s="26">
        <f>IF(A169&gt;200,"",D169*'Adj-Barrows'!$C$7)</f>
        <v>0.14788983566891534</v>
      </c>
      <c r="L169" s="1">
        <f t="shared" si="22"/>
        <v>6.7617899193472963</v>
      </c>
      <c r="M169" s="26">
        <f t="shared" si="23"/>
        <v>8.8187050244595682</v>
      </c>
      <c r="N169" s="30">
        <f t="shared" si="28"/>
        <v>923.65445595654251</v>
      </c>
    </row>
    <row r="170" spans="1:14" x14ac:dyDescent="0.25">
      <c r="A170" s="25">
        <f t="shared" ref="A170:A185" si="29">A169+1</f>
        <v>188</v>
      </c>
      <c r="B170" s="27">
        <f>IF(A170&gt;200,"",IF($C$1='Adj-Mixed'!$A$21,VLOOKUP(A170,'800'!$A$6:$AB$188,2,FALSE),IF($C$1='Adj-Mixed'!$A$20,VLOOKUP(A170,'800'!$A$6:$AB$188,11,FALSE),IF($C$1='Adj-Mixed'!$A$19,VLOOKUP(A170,'800'!$A$6:$AB$188,20,FALSE)))))</f>
        <v>141.51575933570879</v>
      </c>
      <c r="C170" s="25">
        <f t="shared" si="24"/>
        <v>825.49039491630083</v>
      </c>
      <c r="D170" s="26">
        <f t="shared" si="25"/>
        <v>0.23448521849207349</v>
      </c>
      <c r="E170" s="26">
        <f>IF(A170&gt;200,"",IF($C$1='Adj-Mixed'!$A$21,VLOOKUP(A170,'800'!$A$7:$AB$188,8,FALSE),IF($C$1='Adj-Mixed'!$A$20,VLOOKUP(A170,'800'!$A$7:$AB$188,17,FALSE),IF($C$1='Adj-Mixed'!$A$19,VLOOKUP(A170,'800'!$A$7:$AB$188,26,FALSE)))))</f>
        <v>4.2646611433795085</v>
      </c>
      <c r="F170" s="26">
        <f t="shared" ref="F170:F185" si="30">IF(A170&gt;200,"",(E170*C170)/1000)</f>
        <v>3.5204368114325533</v>
      </c>
      <c r="G170" s="27">
        <f t="shared" si="27"/>
        <v>371.94082194496241</v>
      </c>
      <c r="H170" s="1"/>
      <c r="I170" s="127">
        <f t="shared" si="26"/>
        <v>224.72482389853775</v>
      </c>
      <c r="J170" s="25">
        <f>IF(A170&gt;200,"",C170*'Adj-Barrows'!$C$6)</f>
        <v>1297.4111627379982</v>
      </c>
      <c r="K170" s="26">
        <f>IF(A170&gt;200,"",D170*'Adj-Barrows'!$C$7)</f>
        <v>0.14699927714830335</v>
      </c>
      <c r="L170" s="1">
        <f t="shared" si="22"/>
        <v>6.8027545400181033</v>
      </c>
      <c r="M170" s="26">
        <f t="shared" si="23"/>
        <v>8.8259696775860839</v>
      </c>
      <c r="N170" s="30">
        <f t="shared" si="28"/>
        <v>932.48042563412855</v>
      </c>
    </row>
    <row r="171" spans="1:14" x14ac:dyDescent="0.25">
      <c r="A171" s="25">
        <f t="shared" si="29"/>
        <v>189</v>
      </c>
      <c r="B171" s="27">
        <f>IF(A171&gt;200,"",IF($C$1='Adj-Mixed'!$A$21,VLOOKUP(A171,'800'!$A$6:$AB$188,2,FALSE),IF($C$1='Adj-Mixed'!$A$20,VLOOKUP(A171,'800'!$A$6:$AB$188,11,FALSE),IF($C$1='Adj-Mixed'!$A$19,VLOOKUP(A171,'800'!$A$6:$AB$188,20,FALSE)))))</f>
        <v>142.33692108962975</v>
      </c>
      <c r="C171" s="25">
        <f t="shared" si="24"/>
        <v>821.16175392096125</v>
      </c>
      <c r="D171" s="26">
        <f t="shared" si="25"/>
        <v>0.23306946244757692</v>
      </c>
      <c r="E171" s="26">
        <f>IF(A171&gt;200,"",IF($C$1='Adj-Mixed'!$A$21,VLOOKUP(A171,'800'!$A$7:$AB$188,8,FALSE),IF($C$1='Adj-Mixed'!$A$20,VLOOKUP(A171,'800'!$A$7:$AB$188,17,FALSE),IF($C$1='Adj-Mixed'!$A$19,VLOOKUP(A171,'800'!$A$7:$AB$188,26,FALSE)))))</f>
        <v>4.2905663809342878</v>
      </c>
      <c r="F171" s="26">
        <f t="shared" si="30"/>
        <v>3.5232490146823112</v>
      </c>
      <c r="G171" s="27">
        <f t="shared" si="27"/>
        <v>375.46407095964474</v>
      </c>
      <c r="H171" s="1"/>
      <c r="I171" s="127">
        <f t="shared" si="26"/>
        <v>226.01543179962493</v>
      </c>
      <c r="J171" s="25">
        <f>IF(A171&gt;200,"",C171*'Adj-Barrows'!$C$6)</f>
        <v>1290.6079010871968</v>
      </c>
      <c r="K171" s="26">
        <f>IF(A171&gt;200,"",D171*'Adj-Barrows'!$C$7)</f>
        <v>0.14611173670333338</v>
      </c>
      <c r="L171" s="1">
        <f t="shared" si="22"/>
        <v>6.8440771601422359</v>
      </c>
      <c r="M171" s="26">
        <f t="shared" si="23"/>
        <v>8.8330200585299927</v>
      </c>
      <c r="N171" s="30">
        <f t="shared" si="28"/>
        <v>941.31344569265855</v>
      </c>
    </row>
    <row r="172" spans="1:14" x14ac:dyDescent="0.25">
      <c r="A172" s="25">
        <f t="shared" si="29"/>
        <v>190</v>
      </c>
      <c r="B172" s="27">
        <f>IF(A172&gt;200,"",IF($C$1='Adj-Mixed'!$A$21,VLOOKUP(A172,'800'!$A$6:$AB$188,2,FALSE),IF($C$1='Adj-Mixed'!$A$20,VLOOKUP(A172,'800'!$A$6:$AB$188,11,FALSE),IF($C$1='Adj-Mixed'!$A$19,VLOOKUP(A172,'800'!$A$6:$AB$188,20,FALSE)))))</f>
        <v>143.15374407192323</v>
      </c>
      <c r="C172" s="25">
        <f t="shared" si="24"/>
        <v>816.82298229347339</v>
      </c>
      <c r="D172" s="26">
        <f t="shared" si="25"/>
        <v>0.231658534542801</v>
      </c>
      <c r="E172" s="26">
        <f>IF(A172&gt;200,"",IF($C$1='Adj-Mixed'!$A$21,VLOOKUP(A172,'800'!$A$7:$AB$188,8,FALSE),IF($C$1='Adj-Mixed'!$A$20,VLOOKUP(A172,'800'!$A$7:$AB$188,17,FALSE),IF($C$1='Adj-Mixed'!$A$19,VLOOKUP(A172,'800'!$A$7:$AB$188,26,FALSE)))))</f>
        <v>4.3166982903245508</v>
      </c>
      <c r="F172" s="26">
        <f t="shared" si="30"/>
        <v>3.5259783711640376</v>
      </c>
      <c r="G172" s="27">
        <f t="shared" si="27"/>
        <v>378.9900493308088</v>
      </c>
      <c r="H172" s="1"/>
      <c r="I172" s="127">
        <f t="shared" si="26"/>
        <v>227.29922051689516</v>
      </c>
      <c r="J172" s="25">
        <f>IF(A172&gt;200,"",C172*'Adj-Barrows'!$C$6)</f>
        <v>1283.7887172702315</v>
      </c>
      <c r="K172" s="26">
        <f>IF(A172&gt;200,"",D172*'Adj-Barrows'!$C$7)</f>
        <v>0.14522722302931923</v>
      </c>
      <c r="L172" s="1">
        <f t="shared" si="22"/>
        <v>6.885761354798575</v>
      </c>
      <c r="M172" s="26">
        <f t="shared" si="23"/>
        <v>8.8398627371057952</v>
      </c>
      <c r="N172" s="30">
        <f t="shared" si="28"/>
        <v>950.15330842976437</v>
      </c>
    </row>
    <row r="173" spans="1:14" x14ac:dyDescent="0.25">
      <c r="A173" s="25">
        <f t="shared" si="29"/>
        <v>191</v>
      </c>
      <c r="B173" s="27">
        <f>IF(A173&gt;200,"",IF($C$1='Adj-Mixed'!$A$21,VLOOKUP(A173,'800'!$A$6:$AB$188,2,FALSE),IF($C$1='Adj-Mixed'!$A$20,VLOOKUP(A173,'800'!$A$6:$AB$188,11,FALSE),IF($C$1='Adj-Mixed'!$A$19,VLOOKUP(A173,'800'!$A$6:$AB$188,20,FALSE)))))</f>
        <v>143.96621918743372</v>
      </c>
      <c r="C173" s="25">
        <f t="shared" si="24"/>
        <v>812.47511551049456</v>
      </c>
      <c r="D173" s="26">
        <f t="shared" si="25"/>
        <v>0.23025245169421971</v>
      </c>
      <c r="E173" s="26">
        <f>IF(A173&gt;200,"",IF($C$1='Adj-Mixed'!$A$21,VLOOKUP(A173,'800'!$A$7:$AB$188,8,FALSE),IF($C$1='Adj-Mixed'!$A$20,VLOOKUP(A173,'800'!$A$7:$AB$188,17,FALSE),IF($C$1='Adj-Mixed'!$A$19,VLOOKUP(A173,'800'!$A$7:$AB$188,26,FALSE)))))</f>
        <v>4.3430590755577354</v>
      </c>
      <c r="F173" s="26">
        <f t="shared" si="30"/>
        <v>3.5286274240826727</v>
      </c>
      <c r="G173" s="27">
        <f t="shared" si="27"/>
        <v>382.51867675489149</v>
      </c>
      <c r="H173" s="1"/>
      <c r="I173" s="127">
        <f t="shared" si="26"/>
        <v>228.57617575562577</v>
      </c>
      <c r="J173" s="25">
        <f>IF(A173&gt;200,"",C173*'Adj-Barrows'!$C$6)</f>
        <v>1276.9552387305973</v>
      </c>
      <c r="K173" s="26">
        <f>IF(A173&gt;200,"",D173*'Adj-Barrows'!$C$7)</f>
        <v>0.1443457467312341</v>
      </c>
      <c r="L173" s="1">
        <f t="shared" si="22"/>
        <v>6.9278106396994108</v>
      </c>
      <c r="M173" s="26">
        <f t="shared" si="23"/>
        <v>8.8465040892977331</v>
      </c>
      <c r="N173" s="30">
        <f t="shared" si="28"/>
        <v>958.99981251906206</v>
      </c>
    </row>
    <row r="174" spans="1:14" x14ac:dyDescent="0.25">
      <c r="A174" s="25">
        <f t="shared" si="29"/>
        <v>192</v>
      </c>
      <c r="B174" s="27">
        <f>IF(A174&gt;200,"",IF($C$1='Adj-Mixed'!$A$21,VLOOKUP(A174,'800'!$A$6:$AB$188,2,FALSE),IF($C$1='Adj-Mixed'!$A$20,VLOOKUP(A174,'800'!$A$6:$AB$188,11,FALSE),IF($C$1='Adj-Mixed'!$A$19,VLOOKUP(A174,'800'!$A$6:$AB$188,20,FALSE)))))</f>
        <v>144.77433835261735</v>
      </c>
      <c r="C174" s="25">
        <f t="shared" si="24"/>
        <v>808.11916518362636</v>
      </c>
      <c r="D174" s="26">
        <f t="shared" si="25"/>
        <v>0.22885123361541093</v>
      </c>
      <c r="E174" s="26">
        <f>IF(A174&gt;200,"",IF($C$1='Adj-Mixed'!$A$21,VLOOKUP(A174,'800'!$A$7:$AB$188,8,FALSE),IF($C$1='Adj-Mixed'!$A$20,VLOOKUP(A174,'800'!$A$7:$AB$188,17,FALSE),IF($C$1='Adj-Mixed'!$A$19,VLOOKUP(A174,'800'!$A$7:$AB$188,26,FALSE)))))</f>
        <v>4.3696509046593999</v>
      </c>
      <c r="F174" s="26">
        <f t="shared" si="30"/>
        <v>3.531198641217232</v>
      </c>
      <c r="G174" s="27">
        <f t="shared" si="27"/>
        <v>386.04987539610875</v>
      </c>
      <c r="H174" s="1"/>
      <c r="I174" s="127">
        <f t="shared" si="26"/>
        <v>229.84628481102919</v>
      </c>
      <c r="J174" s="25">
        <f>IF(A174&gt;200,"",C174*'Adj-Barrows'!$C$6)</f>
        <v>1270.1090554034322</v>
      </c>
      <c r="K174" s="26">
        <f>IF(A174&gt;200,"",D174*'Adj-Barrows'!$C$7)</f>
        <v>0.14346732016756145</v>
      </c>
      <c r="L174" s="1">
        <f t="shared" si="22"/>
        <v>6.9702284731607058</v>
      </c>
      <c r="M174" s="26">
        <f t="shared" si="23"/>
        <v>8.8529503019922515</v>
      </c>
      <c r="N174" s="30">
        <f t="shared" si="28"/>
        <v>967.85276282105428</v>
      </c>
    </row>
    <row r="175" spans="1:14" x14ac:dyDescent="0.25">
      <c r="A175" s="25">
        <f t="shared" si="29"/>
        <v>193</v>
      </c>
      <c r="B175" s="27">
        <f>IF(A175&gt;200,"",IF($C$1='Adj-Mixed'!$A$21,VLOOKUP(A175,'800'!$A$6:$AB$188,2,FALSE),IF($C$1='Adj-Mixed'!$A$20,VLOOKUP(A175,'800'!$A$6:$AB$188,11,FALSE),IF($C$1='Adj-Mixed'!$A$19,VLOOKUP(A175,'800'!$A$6:$AB$188,20,FALSE)))))</f>
        <v>145.57809447193316</v>
      </c>
      <c r="C175" s="25">
        <f t="shared" si="24"/>
        <v>803.75611931580693</v>
      </c>
      <c r="D175" s="26">
        <f t="shared" si="25"/>
        <v>0.2274549025790428</v>
      </c>
      <c r="E175" s="26">
        <f>IF(A175&gt;200,"",IF($C$1='Adj-Mixed'!$A$21,VLOOKUP(A175,'800'!$A$7:$AB$188,8,FALSE),IF($C$1='Adj-Mixed'!$A$20,VLOOKUP(A175,'800'!$A$7:$AB$188,17,FALSE),IF($C$1='Adj-Mixed'!$A$19,VLOOKUP(A175,'800'!$A$7:$AB$188,26,FALSE)))))</f>
        <v>4.396475910878598</v>
      </c>
      <c r="F175" s="26">
        <f t="shared" si="30"/>
        <v>3.5336944167932094</v>
      </c>
      <c r="G175" s="27">
        <f t="shared" si="27"/>
        <v>389.58356981290194</v>
      </c>
      <c r="H175" s="1"/>
      <c r="I175" s="127">
        <f t="shared" si="26"/>
        <v>231.10953653114768</v>
      </c>
      <c r="J175" s="25">
        <f>IF(A175&gt;200,"",C175*'Adj-Barrows'!$C$6)</f>
        <v>1263.2517201184821</v>
      </c>
      <c r="K175" s="26">
        <f>IF(A175&gt;200,"",D175*'Adj-Barrows'!$C$7)</f>
        <v>0.14259195730108382</v>
      </c>
      <c r="L175" s="1">
        <f t="shared" si="22"/>
        <v>7.0130182580248457</v>
      </c>
      <c r="M175" s="26">
        <f t="shared" si="23"/>
        <v>8.8592073776722078</v>
      </c>
      <c r="N175" s="30">
        <f t="shared" si="28"/>
        <v>976.71197019872648</v>
      </c>
    </row>
    <row r="176" spans="1:14" x14ac:dyDescent="0.25">
      <c r="A176" s="25">
        <f t="shared" si="29"/>
        <v>194</v>
      </c>
      <c r="B176" s="27">
        <f>IF(A176&gt;200,"",IF($C$1='Adj-Mixed'!$A$21,VLOOKUP(A176,'800'!$A$6:$AB$188,2,FALSE),IF($C$1='Adj-Mixed'!$A$20,VLOOKUP(A176,'800'!$A$6:$AB$188,11,FALSE),IF($C$1='Adj-Mixed'!$A$19,VLOOKUP(A176,'800'!$A$6:$AB$188,20,FALSE)))))</f>
        <v>146.37748141449717</v>
      </c>
      <c r="C176" s="25">
        <f t="shared" si="24"/>
        <v>799.38694256401277</v>
      </c>
      <c r="D176" s="26">
        <f t="shared" si="25"/>
        <v>0.22606348318936201</v>
      </c>
      <c r="E176" s="26">
        <f>IF(A176&gt;200,"",IF($C$1='Adj-Mixed'!$A$21,VLOOKUP(A176,'800'!$A$7:$AB$188,8,FALSE),IF($C$1='Adj-Mixed'!$A$20,VLOOKUP(A176,'800'!$A$7:$AB$188,17,FALSE),IF($C$1='Adj-Mixed'!$A$19,VLOOKUP(A176,'800'!$A$7:$AB$188,26,FALSE)))))</f>
        <v>4.4235361938679425</v>
      </c>
      <c r="F176" s="26">
        <f t="shared" si="30"/>
        <v>3.5361170733373446</v>
      </c>
      <c r="G176" s="27">
        <f t="shared" si="27"/>
        <v>393.11968688623926</v>
      </c>
      <c r="H176" s="1"/>
      <c r="I176" s="127">
        <f t="shared" si="26"/>
        <v>232.36592128016068</v>
      </c>
      <c r="J176" s="25">
        <f>IF(A176&gt;200,"",C176*'Adj-Barrows'!$C$6)</f>
        <v>1256.3847490129881</v>
      </c>
      <c r="K176" s="26">
        <f>IF(A176&gt;200,"",D176*'Adj-Barrows'!$C$7)</f>
        <v>0.14171967355625525</v>
      </c>
      <c r="L176" s="1">
        <f t="shared" si="22"/>
        <v>7.0561833435430019</v>
      </c>
      <c r="M176" s="26">
        <f t="shared" si="23"/>
        <v>8.8652811390669015</v>
      </c>
      <c r="N176" s="30">
        <f t="shared" si="28"/>
        <v>985.57725133779343</v>
      </c>
    </row>
    <row r="177" spans="1:14" x14ac:dyDescent="0.25">
      <c r="A177" s="25">
        <f t="shared" si="29"/>
        <v>195</v>
      </c>
      <c r="B177" s="27">
        <f>IF(A177&gt;200,"",IF($C$1='Adj-Mixed'!$A$21,VLOOKUP(A177,'800'!$A$6:$AB$188,2,FALSE),IF($C$1='Adj-Mixed'!$A$20,VLOOKUP(A177,'800'!$A$6:$AB$188,11,FALSE),IF($C$1='Adj-Mixed'!$A$19,VLOOKUP(A177,'800'!$A$6:$AB$188,20,FALSE)))))</f>
        <v>147.17249399100501</v>
      </c>
      <c r="C177" s="25">
        <f t="shared" si="24"/>
        <v>795.01257650784396</v>
      </c>
      <c r="D177" s="26">
        <f t="shared" si="25"/>
        <v>0.22467700216490299</v>
      </c>
      <c r="E177" s="26">
        <f>IF(A177&gt;200,"",IF($C$1='Adj-Mixed'!$A$21,VLOOKUP(A177,'800'!$A$7:$AB$188,8,FALSE),IF($C$1='Adj-Mixed'!$A$20,VLOOKUP(A177,'800'!$A$7:$AB$188,17,FALSE),IF($C$1='Adj-Mixed'!$A$19,VLOOKUP(A177,'800'!$A$7:$AB$188,26,FALSE)))))</f>
        <v>4.4508338208378095</v>
      </c>
      <c r="F177" s="26">
        <f t="shared" si="30"/>
        <v>3.5384688635125183</v>
      </c>
      <c r="G177" s="27">
        <f t="shared" si="27"/>
        <v>396.65815574975176</v>
      </c>
      <c r="H177" s="1"/>
      <c r="I177" s="127">
        <f t="shared" si="26"/>
        <v>233.6154309021145</v>
      </c>
      <c r="J177" s="25">
        <f>IF(A177&gt;200,"",C177*'Adj-Barrows'!$C$6)</f>
        <v>1249.5096219538163</v>
      </c>
      <c r="K177" s="26">
        <f>IF(A177&gt;200,"",D177*'Adj-Barrows'!$C$7)</f>
        <v>0.14085048568298125</v>
      </c>
      <c r="L177" s="1">
        <f t="shared" si="22"/>
        <v>7.099727027216268</v>
      </c>
      <c r="M177" s="26">
        <f t="shared" si="23"/>
        <v>8.8711772337522916</v>
      </c>
      <c r="N177" s="30">
        <f t="shared" si="28"/>
        <v>994.44842857154572</v>
      </c>
    </row>
    <row r="178" spans="1:14" x14ac:dyDescent="0.25">
      <c r="A178" s="25">
        <f t="shared" si="29"/>
        <v>196</v>
      </c>
      <c r="B178" s="27">
        <f>IF(A178&gt;200,"",IF($C$1='Adj-Mixed'!$A$21,VLOOKUP(A178,'800'!$A$6:$AB$188,2,FALSE),IF($C$1='Adj-Mixed'!$A$20,VLOOKUP(A178,'800'!$A$6:$AB$188,11,FALSE),IF($C$1='Adj-Mixed'!$A$19,VLOOKUP(A178,'800'!$A$6:$AB$188,20,FALSE)))))</f>
        <v>147.96312793092918</v>
      </c>
      <c r="C178" s="25">
        <f t="shared" si="24"/>
        <v>790.63393992416309</v>
      </c>
      <c r="D178" s="26">
        <f t="shared" si="25"/>
        <v>0.22329548813130387</v>
      </c>
      <c r="E178" s="26">
        <f>IF(A178&gt;200,"",IF($C$1='Adj-Mixed'!$A$21,VLOOKUP(A178,'800'!$A$7:$AB$188,8,FALSE),IF($C$1='Adj-Mixed'!$A$20,VLOOKUP(A178,'800'!$A$7:$AB$188,17,FALSE),IF($C$1='Adj-Mixed'!$A$19,VLOOKUP(A178,'800'!$A$7:$AB$188,26,FALSE)))))</f>
        <v>4.4783708276809095</v>
      </c>
      <c r="F178" s="26">
        <f t="shared" si="30"/>
        <v>3.5407519719307929</v>
      </c>
      <c r="G178" s="27">
        <f t="shared" si="27"/>
        <v>400.19890772168253</v>
      </c>
      <c r="H178" s="1"/>
      <c r="I178" s="127">
        <f t="shared" si="26"/>
        <v>234.85805868508359</v>
      </c>
      <c r="J178" s="25">
        <f>IF(A178&gt;200,"",C178*'Adj-Barrows'!$C$6)</f>
        <v>1242.6277829691039</v>
      </c>
      <c r="K178" s="26">
        <f>IF(A178&gt;200,"",D178*'Adj-Barrows'!$C$7)</f>
        <v>0.13998441162673461</v>
      </c>
      <c r="L178" s="1">
        <f t="shared" si="22"/>
        <v>7.1436525565895028</v>
      </c>
      <c r="M178" s="26">
        <f t="shared" si="23"/>
        <v>8.8769011386963843</v>
      </c>
      <c r="N178" s="30">
        <f t="shared" si="28"/>
        <v>1003.3253297102422</v>
      </c>
    </row>
    <row r="179" spans="1:14" x14ac:dyDescent="0.25">
      <c r="A179" s="25">
        <f t="shared" si="29"/>
        <v>197</v>
      </c>
      <c r="B179" s="27">
        <f>IF(A179&gt;200,"",IF($C$1='Adj-Mixed'!$A$21,VLOOKUP(A179,'800'!$A$6:$AB$188,2,FALSE),IF($C$1='Adj-Mixed'!$A$20,VLOOKUP(A179,'800'!$A$6:$AB$188,11,FALSE),IF($C$1='Adj-Mixed'!$A$19,VLOOKUP(A179,'800'!$A$6:$AB$188,20,FALSE)))))</f>
        <v>148.74937985999523</v>
      </c>
      <c r="C179" s="25">
        <f t="shared" si="24"/>
        <v>786.25192906605434</v>
      </c>
      <c r="D179" s="26">
        <f t="shared" si="25"/>
        <v>0.22191897142357325</v>
      </c>
      <c r="E179" s="26">
        <f>IF(A179&gt;200,"",IF($C$1='Adj-Mixed'!$A$21,VLOOKUP(A179,'800'!$A$7:$AB$188,8,FALSE),IF($C$1='Adj-Mixed'!$A$20,VLOOKUP(A179,'800'!$A$7:$AB$188,17,FALSE),IF($C$1='Adj-Mixed'!$A$19,VLOOKUP(A179,'800'!$A$7:$AB$188,26,FALSE)))))</f>
        <v>4.5061492200741853</v>
      </c>
      <c r="F179" s="26">
        <f t="shared" si="30"/>
        <v>3.5429685169428242</v>
      </c>
      <c r="G179" s="27">
        <f t="shared" si="27"/>
        <v>403.74187623862537</v>
      </c>
      <c r="H179" s="1"/>
      <c r="I179" s="127">
        <f t="shared" si="26"/>
        <v>236.09379932577028</v>
      </c>
      <c r="J179" s="25">
        <f>IF(A179&gt;200,"",C179*'Adj-Barrows'!$C$6)</f>
        <v>1235.7406406866965</v>
      </c>
      <c r="K179" s="26">
        <f>IF(A179&gt;200,"",D179*'Adj-Barrows'!$C$7)</f>
        <v>0.1391214704045961</v>
      </c>
      <c r="L179" s="1">
        <f t="shared" si="22"/>
        <v>7.1879631310090248</v>
      </c>
      <c r="M179" s="26">
        <f t="shared" si="23"/>
        <v>8.8824581647454455</v>
      </c>
      <c r="N179" s="30">
        <f t="shared" si="28"/>
        <v>1012.2077878749876</v>
      </c>
    </row>
    <row r="180" spans="1:14" x14ac:dyDescent="0.25">
      <c r="A180" s="25">
        <f t="shared" si="29"/>
        <v>198</v>
      </c>
      <c r="B180" s="27">
        <f>IF(A180&gt;200,"",IF($C$1='Adj-Mixed'!$A$21,VLOOKUP(A180,'800'!$A$6:$AB$188,2,FALSE),IF($C$1='Adj-Mixed'!$A$20,VLOOKUP(A180,'800'!$A$6:$AB$188,11,FALSE),IF($C$1='Adj-Mixed'!$A$19,VLOOKUP(A180,'800'!$A$6:$AB$188,20,FALSE)))))</f>
        <v>149.53124727794284</v>
      </c>
      <c r="C180" s="25">
        <f t="shared" si="24"/>
        <v>781.86741794760906</v>
      </c>
      <c r="D180" s="26">
        <f t="shared" si="25"/>
        <v>0.220547483898069</v>
      </c>
      <c r="E180" s="26">
        <f>IF(A180&gt;200,"",IF($C$1='Adj-Mixed'!$A$21,VLOOKUP(A180,'800'!$A$7:$AB$188,8,FALSE),IF($C$1='Adj-Mixed'!$A$20,VLOOKUP(A180,'800'!$A$7:$AB$188,17,FALSE),IF($C$1='Adj-Mixed'!$A$19,VLOOKUP(A180,'800'!$A$7:$AB$188,26,FALSE)))))</f>
        <v>4.5341709745470169</v>
      </c>
      <c r="F180" s="26">
        <f t="shared" si="30"/>
        <v>3.5451205524020701</v>
      </c>
      <c r="G180" s="27">
        <f t="shared" si="27"/>
        <v>407.28699679102743</v>
      </c>
      <c r="H180" s="1"/>
      <c r="I180" s="127">
        <f t="shared" si="26"/>
        <v>237.322648894552</v>
      </c>
      <c r="J180" s="25">
        <f>IF(A180&gt;200,"",C180*'Adj-Barrows'!$C$6)</f>
        <v>1228.8495687817392</v>
      </c>
      <c r="K180" s="26">
        <f>IF(A180&gt;200,"",D180*'Adj-Barrows'!$C$7)</f>
        <v>0.13826168198738356</v>
      </c>
      <c r="L180" s="1">
        <f t="shared" si="22"/>
        <v>7.2326619033265516</v>
      </c>
      <c r="M180" s="26">
        <f t="shared" si="23"/>
        <v>8.8878534610469462</v>
      </c>
      <c r="N180" s="30">
        <f t="shared" si="28"/>
        <v>1021.0956413360345</v>
      </c>
    </row>
    <row r="181" spans="1:14" x14ac:dyDescent="0.25">
      <c r="A181" s="25">
        <f t="shared" si="29"/>
        <v>199</v>
      </c>
      <c r="B181" s="27">
        <f>IF(A181&gt;200,"",IF($C$1='Adj-Mixed'!$A$21,VLOOKUP(A181,'800'!$A$6:$AB$188,2,FALSE),IF($C$1='Adj-Mixed'!$A$20,VLOOKUP(A181,'800'!$A$6:$AB$188,11,FALSE),IF($C$1='Adj-Mixed'!$A$19,VLOOKUP(A181,'800'!$A$6:$AB$188,20,FALSE)))))</f>
        <v>150.30872853657414</v>
      </c>
      <c r="C181" s="25">
        <f t="shared" si="24"/>
        <v>777.48125863129758</v>
      </c>
      <c r="D181" s="26">
        <f t="shared" si="25"/>
        <v>0.21918105875310742</v>
      </c>
      <c r="E181" s="26">
        <f>IF(A181&gt;200,"",IF($C$1='Adj-Mixed'!$A$21,VLOOKUP(A181,'800'!$A$7:$AB$188,8,FALSE),IF($C$1='Adj-Mixed'!$A$20,VLOOKUP(A181,'800'!$A$7:$AB$188,17,FALSE),IF($C$1='Adj-Mixed'!$A$19,VLOOKUP(A181,'800'!$A$7:$AB$188,26,FALSE)))))</f>
        <v>4.5624380395316555</v>
      </c>
      <c r="F181" s="26">
        <f t="shared" si="30"/>
        <v>3.5472100694023809</v>
      </c>
      <c r="G181" s="27">
        <f t="shared" si="27"/>
        <v>410.83420686042979</v>
      </c>
      <c r="I181" s="127">
        <f t="shared" si="26"/>
        <v>238.54460480098035</v>
      </c>
      <c r="J181" s="25">
        <f>IF(A181&gt;200,"",C181*'Adj-Barrows'!$C$6)</f>
        <v>1221.9559064283367</v>
      </c>
      <c r="K181" s="26">
        <f>IF(A181&gt;200,"",D181*'Adj-Barrows'!$C$7)</f>
        <v>0.13740506718719134</v>
      </c>
      <c r="L181" s="1">
        <f t="shared" si="22"/>
        <v>7.2777519815747977</v>
      </c>
      <c r="M181" s="26">
        <f t="shared" si="23"/>
        <v>8.8930920194058558</v>
      </c>
      <c r="N181" s="30">
        <f t="shared" si="28"/>
        <v>1029.9887333554404</v>
      </c>
    </row>
    <row r="182" spans="1:14" x14ac:dyDescent="0.25">
      <c r="A182" s="25">
        <f t="shared" si="29"/>
        <v>200</v>
      </c>
      <c r="B182" s="27">
        <f>IF(A182&gt;200,"",IF($C$1='Adj-Mixed'!$A$21,VLOOKUP(A182,'800'!$A$6:$AB$188,2,FALSE),IF($C$1='Adj-Mixed'!$A$20,VLOOKUP(A182,'800'!$A$6:$AB$188,11,FALSE),IF($C$1='Adj-Mixed'!$A$19,VLOOKUP(A182,'800'!$A$6:$AB$188,20,FALSE)))))</f>
        <v>151.08182281809491</v>
      </c>
      <c r="C182" s="25">
        <f t="shared" si="24"/>
        <v>773.09428152076975</v>
      </c>
      <c r="D182" s="26">
        <f t="shared" si="25"/>
        <v>0.21781973035883878</v>
      </c>
      <c r="E182" s="26">
        <f>IF(A182&gt;200,"",IF($C$1='Adj-Mixed'!$A$21,VLOOKUP(A182,'800'!$A$7:$AB$188,8,FALSE),IF($C$1='Adj-Mixed'!$A$20,VLOOKUP(A182,'800'!$A$7:$AB$188,17,FALSE),IF($C$1='Adj-Mixed'!$A$19,VLOOKUP(A182,'800'!$A$7:$AB$188,26,FALSE)))))</f>
        <v>4.5909523363773719</v>
      </c>
      <c r="F182" s="26">
        <f t="shared" si="30"/>
        <v>3.5492389979877634</v>
      </c>
      <c r="G182" s="27">
        <f t="shared" si="27"/>
        <v>414.38344585841753</v>
      </c>
      <c r="I182" s="127">
        <f t="shared" si="26"/>
        <v>239.7596657597401</v>
      </c>
      <c r="J182" s="25">
        <f>IF(A182&gt;200,"",C182*'Adj-Barrows'!$C$6)</f>
        <v>1215.0609587597428</v>
      </c>
      <c r="K182" s="26">
        <f>IF(A182&gt;200,"",D182*'Adj-Barrows'!$C$7)</f>
        <v>0.13655164755073901</v>
      </c>
      <c r="L182" s="1">
        <f t="shared" si="22"/>
        <v>7.323236430585184</v>
      </c>
      <c r="M182" s="26">
        <f t="shared" si="23"/>
        <v>8.8981786785711101</v>
      </c>
      <c r="N182" s="30">
        <f t="shared" si="28"/>
        <v>1038.8869120340116</v>
      </c>
    </row>
    <row r="183" spans="1:14" x14ac:dyDescent="0.25">
      <c r="A183" s="25">
        <f t="shared" si="29"/>
        <v>201</v>
      </c>
      <c r="B183" s="27" t="str">
        <f>IF(A183&gt;200,"",IF($C$1='Adj-Mixed'!$A$21,VLOOKUP(A183,'800'!$A$6:$AB$188,2,FALSE),IF($C$1='Adj-Mixed'!$A$20,VLOOKUP(A183,'800'!$A$6:$AB$188,11,FALSE),IF($C$1='Adj-Mixed'!$A$19,VLOOKUP(A183,'800'!$A$6:$AB$188,20,FALSE)))))</f>
        <v/>
      </c>
      <c r="C183" s="25" t="str">
        <f t="shared" si="24"/>
        <v/>
      </c>
      <c r="D183" s="26" t="str">
        <f t="shared" si="25"/>
        <v/>
      </c>
      <c r="E183" s="26" t="str">
        <f>IF(A183&gt;200,"",IF($C$1='Adj-Mixed'!$A$21,VLOOKUP(A183,'800'!$A$7:$AB$188,8,FALSE),IF($C$1='Adj-Mixed'!$A$20,VLOOKUP(A183,'800'!$A$7:$AB$188,17,FALSE),IF($C$1='Adj-Mixed'!$A$19,VLOOKUP(A183,'800'!$A$7:$AB$188,26,FALSE)))))</f>
        <v/>
      </c>
      <c r="F183" s="26" t="str">
        <f t="shared" si="30"/>
        <v/>
      </c>
      <c r="G183" s="27" t="str">
        <f t="shared" si="27"/>
        <v/>
      </c>
      <c r="I183" s="127" t="str">
        <f t="shared" si="26"/>
        <v/>
      </c>
      <c r="J183" s="25" t="str">
        <f>IF(A183&gt;200,"",C183*'Adj-Barrows'!$C$6)</f>
        <v/>
      </c>
      <c r="K183" s="26" t="str">
        <f>IF(A183&gt;200,"",D183*'Adj-Barrows'!$C$7)</f>
        <v/>
      </c>
      <c r="L183" s="1" t="str">
        <f t="shared" si="22"/>
        <v/>
      </c>
      <c r="M183" s="26" t="str">
        <f t="shared" si="23"/>
        <v/>
      </c>
      <c r="N183" s="30" t="str">
        <f t="shared" si="28"/>
        <v/>
      </c>
    </row>
    <row r="184" spans="1:14" x14ac:dyDescent="0.25">
      <c r="A184" s="25">
        <f t="shared" si="29"/>
        <v>202</v>
      </c>
      <c r="B184" s="27" t="str">
        <f>IF(A184&gt;200,"",IF($C$1='Adj-Mixed'!$A$21,VLOOKUP(A184,'800'!$A$6:$AB$188,2,FALSE),IF($C$1='Adj-Mixed'!$A$20,VLOOKUP(A184,'800'!$A$6:$AB$188,11,FALSE),IF($C$1='Adj-Mixed'!$A$19,VLOOKUP(A184,'800'!$A$6:$AB$188,20,FALSE)))))</f>
        <v/>
      </c>
      <c r="C184" s="25" t="str">
        <f t="shared" si="24"/>
        <v/>
      </c>
      <c r="D184" s="26" t="str">
        <f t="shared" si="25"/>
        <v/>
      </c>
      <c r="E184" s="26" t="str">
        <f>IF(A184&gt;200,"",IF($C$1='Adj-Mixed'!$A$21,VLOOKUP(A184,'800'!$A$7:$AB$188,8,FALSE),IF($C$1='Adj-Mixed'!$A$20,VLOOKUP(A184,'800'!$A$7:$AB$188,17,FALSE),IF($C$1='Adj-Mixed'!$A$19,VLOOKUP(A184,'800'!$A$7:$AB$188,26,FALSE)))))</f>
        <v/>
      </c>
      <c r="F184" s="26" t="str">
        <f t="shared" si="30"/>
        <v/>
      </c>
      <c r="G184" s="27" t="str">
        <f t="shared" si="27"/>
        <v/>
      </c>
      <c r="I184" s="127" t="str">
        <f t="shared" si="26"/>
        <v/>
      </c>
      <c r="J184" s="25" t="str">
        <f>IF(A184&gt;200,"",C184*'Adj-Barrows'!$C$6)</f>
        <v/>
      </c>
      <c r="K184" s="26" t="str">
        <f>IF(A184&gt;200,"",D184*'Adj-Barrows'!$C$7)</f>
        <v/>
      </c>
      <c r="L184" s="1" t="str">
        <f t="shared" si="22"/>
        <v/>
      </c>
      <c r="M184" s="26" t="str">
        <f t="shared" si="23"/>
        <v/>
      </c>
      <c r="N184" s="30" t="str">
        <f t="shared" si="28"/>
        <v/>
      </c>
    </row>
    <row r="185" spans="1:14" x14ac:dyDescent="0.25">
      <c r="A185" s="25">
        <f t="shared" si="29"/>
        <v>203</v>
      </c>
      <c r="B185" s="27" t="str">
        <f>IF(A185&gt;200,"",IF($C$1='Adj-Mixed'!$A$21,VLOOKUP(A185,'800'!$A$6:$AB$188,2,FALSE),IF($C$1='Adj-Mixed'!$A$20,VLOOKUP(A185,'800'!$A$6:$AB$188,11,FALSE),IF($C$1='Adj-Mixed'!$A$19,VLOOKUP(A185,'800'!$A$6:$AB$188,20,FALSE)))))</f>
        <v/>
      </c>
      <c r="C185" s="25" t="str">
        <f t="shared" si="24"/>
        <v/>
      </c>
      <c r="D185" s="26" t="str">
        <f t="shared" si="25"/>
        <v/>
      </c>
      <c r="E185" s="26" t="str">
        <f>IF(A185&gt;200,"",IF($C$1='Adj-Mixed'!$A$21,VLOOKUP(A185,'800'!$A$7:$AB$188,8,FALSE),IF($C$1='Adj-Mixed'!$A$20,VLOOKUP(A185,'800'!$A$7:$AB$188,17,FALSE),IF($C$1='Adj-Mixed'!$A$19,VLOOKUP(A185,'800'!$A$7:$AB$188,26,FALSE)))))</f>
        <v/>
      </c>
      <c r="F185" s="26" t="str">
        <f t="shared" si="30"/>
        <v/>
      </c>
      <c r="G185" s="27" t="str">
        <f t="shared" si="27"/>
        <v/>
      </c>
      <c r="I185" s="127" t="str">
        <f t="shared" si="26"/>
        <v/>
      </c>
      <c r="J185" s="25" t="str">
        <f>IF(A185&gt;200,"",C185*'Adj-Barrows'!$C$6)</f>
        <v/>
      </c>
      <c r="K185" s="26" t="str">
        <f>IF(A185&gt;200,"",D185*'Adj-Barrows'!$C$7)</f>
        <v/>
      </c>
      <c r="L185" s="1" t="str">
        <f t="shared" si="22"/>
        <v/>
      </c>
      <c r="M185" s="26" t="str">
        <f t="shared" si="23"/>
        <v/>
      </c>
      <c r="N185" s="30" t="str">
        <f t="shared" si="28"/>
        <v/>
      </c>
    </row>
    <row r="186" spans="1:14" x14ac:dyDescent="0.25">
      <c r="I186" s="128"/>
    </row>
    <row r="187" spans="1:14" x14ac:dyDescent="0.25">
      <c r="I187" s="128"/>
    </row>
    <row r="188" spans="1:14" x14ac:dyDescent="0.25">
      <c r="I188" s="128"/>
    </row>
    <row r="189" spans="1:14" x14ac:dyDescent="0.25">
      <c r="I189" s="128"/>
    </row>
    <row r="190" spans="1:14" x14ac:dyDescent="0.25">
      <c r="I190" s="128"/>
    </row>
    <row r="191" spans="1:14" x14ac:dyDescent="0.25">
      <c r="I191" s="128"/>
    </row>
    <row r="192" spans="1:14" x14ac:dyDescent="0.25">
      <c r="I192" s="128"/>
    </row>
    <row r="193" spans="9:9" x14ac:dyDescent="0.25">
      <c r="I193" s="128"/>
    </row>
  </sheetData>
  <mergeCells count="2">
    <mergeCell ref="C1:G1"/>
    <mergeCell ref="J1:N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31B0-6AF8-4C78-A1F3-F737C9145906}">
  <sheetPr codeName="Sheet14"/>
  <dimension ref="A1:N208"/>
  <sheetViews>
    <sheetView workbookViewId="0">
      <selection activeCell="C9" sqref="C9"/>
    </sheetView>
  </sheetViews>
  <sheetFormatPr defaultColWidth="8.85546875" defaultRowHeight="15" x14ac:dyDescent="0.25"/>
  <cols>
    <col min="1" max="1" width="6.42578125" bestFit="1" customWidth="1"/>
    <col min="2" max="2" width="15.42578125" bestFit="1" customWidth="1"/>
    <col min="3" max="3" width="12.42578125" bestFit="1" customWidth="1"/>
    <col min="4" max="5" width="7.42578125" bestFit="1" customWidth="1"/>
    <col min="6" max="6" width="8.7109375" bestFit="1" customWidth="1"/>
    <col min="7" max="7" width="17.85546875" bestFit="1" customWidth="1"/>
    <col min="9" max="9" width="15.42578125" bestFit="1" customWidth="1"/>
    <col min="10" max="10" width="12.42578125" bestFit="1" customWidth="1"/>
    <col min="11" max="12" width="7.42578125" bestFit="1" customWidth="1"/>
    <col min="13" max="13" width="8.7109375" bestFit="1" customWidth="1"/>
    <col min="14" max="14" width="17.85546875" bestFit="1" customWidth="1"/>
  </cols>
  <sheetData>
    <row r="1" spans="1:14" x14ac:dyDescent="0.25">
      <c r="A1" s="219">
        <v>337</v>
      </c>
      <c r="B1" s="219" t="s">
        <v>14</v>
      </c>
      <c r="C1" s="254" t="str">
        <f>'Adj-Mixed'!A17</f>
        <v>Low energy diet</v>
      </c>
      <c r="D1" s="254"/>
      <c r="E1" s="254"/>
      <c r="F1" s="254"/>
      <c r="G1" s="254"/>
      <c r="I1" s="212" t="str">
        <f>B1</f>
        <v>Gilts</v>
      </c>
      <c r="J1" s="255" t="s">
        <v>125</v>
      </c>
      <c r="K1" s="256"/>
      <c r="L1" s="256"/>
      <c r="M1" s="256"/>
      <c r="N1" s="257"/>
    </row>
    <row r="2" spans="1:14" ht="15" customHeight="1" x14ac:dyDescent="0.25">
      <c r="A2" s="124" t="s">
        <v>55</v>
      </c>
      <c r="B2" s="124" t="s">
        <v>126</v>
      </c>
      <c r="C2" s="219" t="s">
        <v>127</v>
      </c>
      <c r="D2" s="219" t="s">
        <v>128</v>
      </c>
      <c r="E2" s="219" t="s">
        <v>129</v>
      </c>
      <c r="F2" s="219" t="s">
        <v>130</v>
      </c>
      <c r="G2" s="219" t="s">
        <v>131</v>
      </c>
      <c r="I2" s="125" t="str">
        <f>B2</f>
        <v>Body Weight, kg</v>
      </c>
      <c r="J2" s="212" t="str">
        <f>C2</f>
        <v>Est. ADG, g/d</v>
      </c>
      <c r="K2" s="212" t="str">
        <f t="shared" ref="K2:N2" si="0">D2</f>
        <v>Est. G:F</v>
      </c>
      <c r="L2" s="212" t="str">
        <f t="shared" si="0"/>
        <v>Est. F:G</v>
      </c>
      <c r="M2" s="212" t="str">
        <f t="shared" si="0"/>
        <v>Est. ADFI</v>
      </c>
      <c r="N2" s="212" t="str">
        <f t="shared" si="0"/>
        <v>Ac. Feed intake, kg</v>
      </c>
    </row>
    <row r="3" spans="1:14" ht="15" customHeight="1" x14ac:dyDescent="0.25">
      <c r="A3" s="114">
        <f>'I-Mixed'!$C$5</f>
        <v>21</v>
      </c>
      <c r="B3" s="127">
        <f>IF(A3&gt;200,"",IF($C$1='Adj-Mixed'!$A$21,VLOOKUP(A3,'800'!$A$6:$AB$188,3,FALSE),IF($C$1='Adj-Mixed'!$A$20,VLOOKUP(A3,'800'!$A$6:$AB$188,12,FALSE),IF($C$1='Adj-Mixed'!$A$19,VLOOKUP(A3,'800'!$A$6:$AB$188,21,FALSE)))))</f>
        <v>6.1565785361179355</v>
      </c>
      <c r="C3" s="23"/>
      <c r="D3" s="23"/>
      <c r="E3" s="23"/>
      <c r="F3" s="217"/>
      <c r="G3" s="217"/>
      <c r="I3" s="127">
        <f>IF(A3&gt;200,"",'E-Mixed'!I3*'Adj-Gilts'!B12)</f>
        <v>12.089576651964517</v>
      </c>
      <c r="J3" s="23"/>
      <c r="K3" s="23"/>
      <c r="L3" s="23"/>
      <c r="M3" s="217"/>
      <c r="N3" s="217"/>
    </row>
    <row r="4" spans="1:14" ht="15" customHeight="1" x14ac:dyDescent="0.25">
      <c r="A4" s="114">
        <f>A3+1</f>
        <v>22</v>
      </c>
      <c r="B4" s="127">
        <f>IF(A4&gt;200,"",IF($C$1='Adj-Mixed'!$A$21,VLOOKUP(A4,'800'!$A$6:$AB$188,3,FALSE),IF($C$1='Adj-Mixed'!$A$20,VLOOKUP(A4,'800'!$A$6:$AB$188,12,FALSE),IF($C$1='Adj-Mixed'!$A$19,VLOOKUP(A4,'800'!$A$6:$AB$188,21,FALSE)))))</f>
        <v>6.2403774778214611</v>
      </c>
      <c r="C4" s="25">
        <f>IF(A4&gt;200,"",(B4-B3)*1000)</f>
        <v>83.798941703525642</v>
      </c>
      <c r="D4" s="26">
        <f>IF(A4&gt;200,"",1/E4)</f>
        <v>0.9708807012780365</v>
      </c>
      <c r="E4" s="26">
        <f>IF(A4&gt;200,"",IF($C$1='Adj-Mixed'!$A$21,VLOOKUP(A4,'800'!$A$7:$AB$188,9,FALSE),IF($C$1='Adj-Mixed'!$A$20,VLOOKUP(A4,'800'!$A$7:$AB$188,18,FALSE),IF($C$1='Adj-Mixed'!$A$19,VLOOKUP(A4,'800'!$A$7:$AB$188,27,FALSE)))))</f>
        <v>1.0299926640663799</v>
      </c>
      <c r="F4" s="26">
        <f t="shared" ref="F4:F67" si="1">IF(A4&gt;200,"",(E4*C4)/1000)</f>
        <v>8.6312295211157644E-2</v>
      </c>
      <c r="G4" s="27">
        <f>IF(A4&gt;200,"",F4)</f>
        <v>8.6312295211157644E-2</v>
      </c>
      <c r="I4" s="127">
        <f>IF(A4&gt;200,"",I3+(J4/1000))</f>
        <v>12.221282221237445</v>
      </c>
      <c r="J4" s="25">
        <f>IF(A4&gt;200,"",C4*'Adj-Gilts'!$C$6)</f>
        <v>131.70556927292722</v>
      </c>
      <c r="K4" s="26">
        <f>IF(A4&gt;200,"",D4*'Adj-Gilts'!$C$7)</f>
        <v>0.60864715568386096</v>
      </c>
      <c r="L4" s="1">
        <f t="shared" ref="L4:L67" si="2">IF(A4&gt;200,"",1/K4)</f>
        <v>1.6429880443233562</v>
      </c>
      <c r="M4" s="26">
        <f t="shared" ref="M4:M67" si="3">IF(A4&gt;200,"",(J4/1000)/K4)</f>
        <v>0.21639067568622103</v>
      </c>
      <c r="N4" s="30">
        <f>IF(A4&gt;200,"",M4)</f>
        <v>0.21639067568622103</v>
      </c>
    </row>
    <row r="5" spans="1:14" ht="15" customHeight="1" x14ac:dyDescent="0.25">
      <c r="A5" s="114">
        <f t="shared" ref="A5:A68" si="4">A4+1</f>
        <v>23</v>
      </c>
      <c r="B5" s="127">
        <f>IF(A5&gt;200,"",IF($C$1='Adj-Mixed'!$A$21,VLOOKUP(A5,'800'!$A$6:$AB$188,3,FALSE),IF($C$1='Adj-Mixed'!$A$20,VLOOKUP(A5,'800'!$A$6:$AB$188,12,FALSE),IF($C$1='Adj-Mixed'!$A$19,VLOOKUP(A5,'800'!$A$6:$AB$188,21,FALSE)))))</f>
        <v>6.3486887042716953</v>
      </c>
      <c r="C5" s="25">
        <f t="shared" ref="C5" si="5">IF(A5&gt;200,"",(B5-B4)*1000)</f>
        <v>108.31122645023416</v>
      </c>
      <c r="D5" s="26">
        <f t="shared" ref="D5:D68" si="6">IF(A5&gt;200,"",1/E5)</f>
        <v>0.96154530991960308</v>
      </c>
      <c r="E5" s="26">
        <f>IF(A5&gt;200,"",IF($C$1='Adj-Mixed'!$A$21,VLOOKUP(A5,'800'!$A$7:$AB$188,9,FALSE),IF($C$1='Adj-Mixed'!$A$20,VLOOKUP(A5,'800'!$A$7:$AB$188,18,FALSE),IF($C$1='Adj-Mixed'!$A$19,VLOOKUP(A5,'800'!$A$7:$AB$188,27,FALSE)))))</f>
        <v>1.0399925928437135</v>
      </c>
      <c r="F5" s="26">
        <f t="shared" si="1"/>
        <v>0.11264287323006163</v>
      </c>
      <c r="G5" s="27">
        <f>IF(A5&gt;200,"",F5+G4)</f>
        <v>0.19895516844121927</v>
      </c>
      <c r="I5" s="127">
        <f t="shared" ref="I5:I68" si="7">IF(A5&gt;200,"",I4+(J5/1000))</f>
        <v>12.391513389415513</v>
      </c>
      <c r="J5" s="25">
        <f>IF(A5&gt;200,"",C5*'Adj-Gilts'!$C$6)</f>
        <v>170.2311681780684</v>
      </c>
      <c r="K5" s="26">
        <f>IF(A5&gt;200,"",D5*'Adj-Gilts'!$C$7)</f>
        <v>0.60279477918690649</v>
      </c>
      <c r="L5" s="1">
        <f t="shared" si="2"/>
        <v>1.6589393845594895</v>
      </c>
      <c r="M5" s="26">
        <f t="shared" si="3"/>
        <v>0.28240318937016773</v>
      </c>
      <c r="N5" s="30">
        <f>IF(A5&gt;200,"",N4+M5)</f>
        <v>0.49879386505638879</v>
      </c>
    </row>
    <row r="6" spans="1:14" ht="15" customHeight="1" x14ac:dyDescent="0.25">
      <c r="A6" s="114">
        <f t="shared" si="4"/>
        <v>24</v>
      </c>
      <c r="B6" s="127">
        <f>IF(A6&gt;200,"",IF($C$1='Adj-Mixed'!$A$21,VLOOKUP(A6,'800'!$A$6:$AB$188,3,FALSE),IF($C$1='Adj-Mixed'!$A$20,VLOOKUP(A6,'800'!$A$6:$AB$188,12,FALSE),IF($C$1='Adj-Mixed'!$A$19,VLOOKUP(A6,'800'!$A$6:$AB$188,21,FALSE)))))</f>
        <v>6.4809285896413336</v>
      </c>
      <c r="C6" s="126">
        <f t="shared" ref="C6:C68" si="8">IF(A6&gt;200,"",(B6-B5)*1000)</f>
        <v>132.23988536963827</v>
      </c>
      <c r="D6" s="26">
        <f t="shared" si="6"/>
        <v>0.95238773553941614</v>
      </c>
      <c r="E6" s="26">
        <f>IF(A6&gt;200,"",IF($C$1='Adj-Mixed'!$A$21,VLOOKUP(A6,'800'!$A$7:$AB$188,9,FALSE),IF($C$1='Adj-Mixed'!$A$20,VLOOKUP(A6,'800'!$A$7:$AB$188,18,FALSE),IF($C$1='Adj-Mixed'!$A$19,VLOOKUP(A6,'800'!$A$7:$AB$188,27,FALSE)))))</f>
        <v>1.0499925216210571</v>
      </c>
      <c r="F6" s="26">
        <f t="shared" si="1"/>
        <v>0.13885089069814602</v>
      </c>
      <c r="G6" s="27">
        <f t="shared" ref="G6:G69" si="9">IF(A6&gt;200,"",F6+G5)</f>
        <v>0.33780605913936529</v>
      </c>
      <c r="I6" s="127">
        <f t="shared" si="7"/>
        <v>12.599352880334312</v>
      </c>
      <c r="J6" s="25">
        <f>IF(A6&gt;200,"",C6*'Adj-Gilts'!$C$6)</f>
        <v>207.83949091879856</v>
      </c>
      <c r="K6" s="26">
        <f>IF(A6&gt;200,"",D6*'Adj-Gilts'!$C$7)</f>
        <v>0.59705387652798347</v>
      </c>
      <c r="L6" s="1">
        <f t="shared" si="2"/>
        <v>1.6748907247956386</v>
      </c>
      <c r="M6" s="26">
        <f t="shared" si="3"/>
        <v>0.34810843558614307</v>
      </c>
      <c r="N6" s="30">
        <f t="shared" ref="N6:N69" si="10">IF(A6&gt;200,"",N5+M6)</f>
        <v>0.8469023006425318</v>
      </c>
    </row>
    <row r="7" spans="1:14" ht="15" customHeight="1" x14ac:dyDescent="0.25">
      <c r="A7" s="114">
        <f t="shared" si="4"/>
        <v>25</v>
      </c>
      <c r="B7" s="127">
        <f>IF(A7&gt;200,"",IF($C$1='Adj-Mixed'!$A$21,VLOOKUP(A7,'800'!$A$6:$AB$188,3,FALSE),IF($C$1='Adj-Mixed'!$A$20,VLOOKUP(A7,'800'!$A$6:$AB$188,12,FALSE),IF($C$1='Adj-Mixed'!$A$19,VLOOKUP(A7,'800'!$A$6:$AB$188,21,FALSE)))))</f>
        <v>6.6365135081030742</v>
      </c>
      <c r="C7" s="126">
        <f t="shared" si="8"/>
        <v>155.58491846174061</v>
      </c>
      <c r="D7" s="26">
        <f t="shared" si="6"/>
        <v>0.94340294558149185</v>
      </c>
      <c r="E7" s="26">
        <f>IF(A7&gt;200,"",IF($C$1='Adj-Mixed'!$A$21,VLOOKUP(A7,'800'!$A$7:$AB$188,9,FALSE),IF($C$1='Adj-Mixed'!$A$20,VLOOKUP(A7,'800'!$A$7:$AB$188,18,FALSE),IF($C$1='Adj-Mixed'!$A$19,VLOOKUP(A7,'800'!$A$7:$AB$188,27,FALSE)))))</f>
        <v>1.0599924503984064</v>
      </c>
      <c r="F7" s="26">
        <f t="shared" si="1"/>
        <v>0.16491883896529669</v>
      </c>
      <c r="G7" s="27">
        <f t="shared" si="9"/>
        <v>0.50272489810466192</v>
      </c>
      <c r="I7" s="127">
        <f t="shared" si="7"/>
        <v>12.843883417829433</v>
      </c>
      <c r="J7" s="25">
        <f>IF(A7&gt;200,"",C7*'Adj-Gilts'!$C$6)</f>
        <v>244.53053749512191</v>
      </c>
      <c r="K7" s="26">
        <f>IF(A7&gt;200,"",D7*'Adj-Gilts'!$C$7)</f>
        <v>0.59142129278715017</v>
      </c>
      <c r="L7" s="1">
        <f t="shared" si="2"/>
        <v>1.690842065031797</v>
      </c>
      <c r="M7" s="26">
        <f t="shared" si="3"/>
        <v>0.4134625189815872</v>
      </c>
      <c r="N7" s="30">
        <f t="shared" si="10"/>
        <v>1.2603648196241191</v>
      </c>
    </row>
    <row r="8" spans="1:14" ht="15" customHeight="1" x14ac:dyDescent="0.25">
      <c r="A8" s="114">
        <f t="shared" si="4"/>
        <v>26</v>
      </c>
      <c r="B8" s="127">
        <f>IF(A8&gt;200,"",IF($C$1='Adj-Mixed'!$A$21,VLOOKUP(A8,'800'!$A$6:$AB$188,3,FALSE),IF($C$1='Adj-Mixed'!$A$20,VLOOKUP(A8,'800'!$A$6:$AB$188,12,FALSE),IF($C$1='Adj-Mixed'!$A$19,VLOOKUP(A8,'800'!$A$6:$AB$188,21,FALSE)))))</f>
        <v>6.8148598338296154</v>
      </c>
      <c r="C8" s="126">
        <f t="shared" si="8"/>
        <v>178.34632572654118</v>
      </c>
      <c r="D8" s="26">
        <f t="shared" si="6"/>
        <v>0.92593252066332199</v>
      </c>
      <c r="E8" s="26">
        <f>IF(A8&gt;200,"",IF($C$1='Adj-Mixed'!$A$21,VLOOKUP(A8,'800'!$A$7:$AB$188,9,FALSE),IF($C$1='Adj-Mixed'!$A$20,VLOOKUP(A8,'800'!$A$7:$AB$188,18,FALSE),IF($C$1='Adj-Mixed'!$A$19,VLOOKUP(A8,'800'!$A$7:$AB$188,27,FALSE)))))</f>
        <v>1.0799923079530864</v>
      </c>
      <c r="F8" s="26">
        <f t="shared" si="1"/>
        <v>0.19261265993636012</v>
      </c>
      <c r="G8" s="27">
        <f t="shared" si="9"/>
        <v>0.69533755804102204</v>
      </c>
      <c r="I8" s="127">
        <f t="shared" si="7"/>
        <v>13.124187725736471</v>
      </c>
      <c r="J8" s="25">
        <f>IF(A8&gt;200,"",C8*'Adj-Gilts'!$C$6)</f>
        <v>280.30430790703838</v>
      </c>
      <c r="K8" s="26">
        <f>IF(A8&gt;200,"",D8*'Adj-Gilts'!$C$7)</f>
        <v>0.58046904662442877</v>
      </c>
      <c r="L8" s="1">
        <f t="shared" si="2"/>
        <v>1.7227447455040843</v>
      </c>
      <c r="M8" s="26">
        <f t="shared" si="3"/>
        <v>0.48289277358900928</v>
      </c>
      <c r="N8" s="30">
        <f t="shared" si="10"/>
        <v>1.7432575932131282</v>
      </c>
    </row>
    <row r="9" spans="1:14" ht="15" customHeight="1" x14ac:dyDescent="0.25">
      <c r="A9" s="114">
        <f t="shared" si="4"/>
        <v>27</v>
      </c>
      <c r="B9" s="127">
        <f>IF(A9&gt;200,"",IF($C$1='Adj-Mixed'!$A$21,VLOOKUP(A9,'800'!$A$6:$AB$188,3,FALSE),IF($C$1='Adj-Mixed'!$A$20,VLOOKUP(A9,'800'!$A$6:$AB$188,12,FALSE),IF($C$1='Adj-Mixed'!$A$19,VLOOKUP(A9,'800'!$A$6:$AB$188,21,FALSE)))))</f>
        <v>7.0153839409936527</v>
      </c>
      <c r="C9" s="126">
        <f t="shared" si="8"/>
        <v>200.52410716403733</v>
      </c>
      <c r="D9" s="26">
        <f t="shared" si="6"/>
        <v>0.91389010307300089</v>
      </c>
      <c r="E9" s="26">
        <f>IF(A9&gt;200,"",IF($C$1='Adj-Mixed'!$A$21,VLOOKUP(A9,'800'!$A$7:$AB$188,9,FALSE),IF($C$1='Adj-Mixed'!$A$20,VLOOKUP(A9,'800'!$A$7:$AB$188,18,FALSE),IF($C$1='Adj-Mixed'!$A$19,VLOOKUP(A9,'800'!$A$7:$AB$188,27,FALSE)))))</f>
        <v>1.0942234702372313</v>
      </c>
      <c r="F9" s="26">
        <f t="shared" si="1"/>
        <v>0.21941818440725538</v>
      </c>
      <c r="G9" s="27">
        <f t="shared" si="9"/>
        <v>0.9147557424482774</v>
      </c>
      <c r="I9" s="127">
        <f t="shared" si="7"/>
        <v>13.439348527891015</v>
      </c>
      <c r="J9" s="25">
        <f>IF(A9&gt;200,"",C9*'Adj-Gilts'!$C$6)</f>
        <v>315.16080215454389</v>
      </c>
      <c r="K9" s="26">
        <f>IF(A9&gt;200,"",D9*'Adj-Gilts'!$C$7)</f>
        <v>0.57291962968344134</v>
      </c>
      <c r="L9" s="1">
        <f t="shared" si="2"/>
        <v>1.7454455183400435</v>
      </c>
      <c r="M9" s="26">
        <f t="shared" si="3"/>
        <v>0.5500960096771017</v>
      </c>
      <c r="N9" s="30">
        <f t="shared" si="10"/>
        <v>2.2933536028902299</v>
      </c>
    </row>
    <row r="10" spans="1:14" ht="15" customHeight="1" x14ac:dyDescent="0.25">
      <c r="A10" s="114">
        <f t="shared" si="4"/>
        <v>28</v>
      </c>
      <c r="B10" s="127">
        <f>IF(A10&gt;200,"",IF($C$1='Adj-Mixed'!$A$21,VLOOKUP(A10,'800'!$A$6:$AB$188,3,FALSE),IF($C$1='Adj-Mixed'!$A$20,VLOOKUP(A10,'800'!$A$6:$AB$188,12,FALSE),IF($C$1='Adj-Mixed'!$A$19,VLOOKUP(A10,'800'!$A$6:$AB$188,21,FALSE)))))</f>
        <v>7.2375022037678862</v>
      </c>
      <c r="C10" s="126">
        <f t="shared" si="8"/>
        <v>222.11826277423353</v>
      </c>
      <c r="D10" s="26">
        <f t="shared" si="6"/>
        <v>0.90209941108536196</v>
      </c>
      <c r="E10" s="26">
        <f>IF(A10&gt;200,"",IF($C$1='Adj-Mixed'!$A$21,VLOOKUP(A10,'800'!$A$7:$AB$188,9,FALSE),IF($C$1='Adj-Mixed'!$A$20,VLOOKUP(A10,'800'!$A$7:$AB$188,18,FALSE),IF($C$1='Adj-Mixed'!$A$19,VLOOKUP(A10,'800'!$A$7:$AB$188,27,FALSE)))))</f>
        <v>1.1085252774933627</v>
      </c>
      <c r="F10" s="26">
        <f t="shared" si="1"/>
        <v>0.2462237088781509</v>
      </c>
      <c r="G10" s="27">
        <f t="shared" si="9"/>
        <v>1.1609794513264282</v>
      </c>
      <c r="I10" s="127">
        <f t="shared" si="7"/>
        <v>13.788448548128661</v>
      </c>
      <c r="J10" s="25">
        <f>IF(A10&gt;200,"",C10*'Adj-Gilts'!$C$6)</f>
        <v>349.10002023764537</v>
      </c>
      <c r="K10" s="26">
        <f>IF(A10&gt;200,"",D10*'Adj-Gilts'!$C$7)</f>
        <v>0.56552802005274816</v>
      </c>
      <c r="L10" s="1">
        <f t="shared" si="2"/>
        <v>1.7682589801770168</v>
      </c>
      <c r="M10" s="26">
        <f t="shared" si="3"/>
        <v>0.61729924576519468</v>
      </c>
      <c r="N10" s="30">
        <f t="shared" si="10"/>
        <v>2.9106528486554248</v>
      </c>
    </row>
    <row r="11" spans="1:14" ht="15" customHeight="1" x14ac:dyDescent="0.25">
      <c r="A11" s="114">
        <f t="shared" si="4"/>
        <v>29</v>
      </c>
      <c r="B11" s="127">
        <f>IF(A11&gt;200,"",IF($C$1='Adj-Mixed'!$A$21,VLOOKUP(A11,'800'!$A$6:$AB$188,3,FALSE),IF($C$1='Adj-Mixed'!$A$20,VLOOKUP(A11,'800'!$A$6:$AB$188,12,FALSE),IF($C$1='Adj-Mixed'!$A$19,VLOOKUP(A11,'800'!$A$6:$AB$188,21,FALSE)))))</f>
        <v>7.4806309963250106</v>
      </c>
      <c r="C11" s="126">
        <f t="shared" si="8"/>
        <v>243.12879255712437</v>
      </c>
      <c r="D11" s="26">
        <f t="shared" si="6"/>
        <v>0.89048630278466967</v>
      </c>
      <c r="E11" s="26">
        <f>IF(A11&gt;200,"",IF($C$1='Adj-Mixed'!$A$21,VLOOKUP(A11,'800'!$A$7:$AB$188,9,FALSE),IF($C$1='Adj-Mixed'!$A$20,VLOOKUP(A11,'800'!$A$7:$AB$188,18,FALSE),IF($C$1='Adj-Mixed'!$A$19,VLOOKUP(A11,'800'!$A$7:$AB$188,27,FALSE)))))</f>
        <v>1.1229818997472127</v>
      </c>
      <c r="F11" s="26">
        <f t="shared" si="1"/>
        <v>0.2730292333490455</v>
      </c>
      <c r="G11" s="27">
        <f t="shared" si="9"/>
        <v>1.4340086846754736</v>
      </c>
      <c r="I11" s="127">
        <f t="shared" si="7"/>
        <v>14.170570510284996</v>
      </c>
      <c r="J11" s="25">
        <f>IF(A11&gt;200,"",C11*'Adj-Gilts'!$C$6)</f>
        <v>382.1219621563344</v>
      </c>
      <c r="K11" s="26">
        <f>IF(A11&gt;200,"",D11*'Adj-Gilts'!$C$7)</f>
        <v>0.55824773800927918</v>
      </c>
      <c r="L11" s="1">
        <f t="shared" si="2"/>
        <v>1.7913193944430779</v>
      </c>
      <c r="M11" s="26">
        <f t="shared" si="3"/>
        <v>0.68450248185328577</v>
      </c>
      <c r="N11" s="30">
        <f t="shared" si="10"/>
        <v>3.5951553305087107</v>
      </c>
    </row>
    <row r="12" spans="1:14" ht="15" customHeight="1" x14ac:dyDescent="0.25">
      <c r="A12" s="114">
        <f t="shared" si="4"/>
        <v>30</v>
      </c>
      <c r="B12" s="127">
        <f>IF(A12&gt;200,"",IF($C$1='Adj-Mixed'!$A$21,VLOOKUP(A12,'800'!$A$6:$AB$188,3,FALSE),IF($C$1='Adj-Mixed'!$A$20,VLOOKUP(A12,'800'!$A$6:$AB$188,12,FALSE),IF($C$1='Adj-Mixed'!$A$19,VLOOKUP(A12,'800'!$A$6:$AB$188,21,FALSE)))))</f>
        <v>7.744186692837725</v>
      </c>
      <c r="C12" s="126">
        <f t="shared" si="8"/>
        <v>263.55569651271435</v>
      </c>
      <c r="D12" s="26">
        <f t="shared" si="6"/>
        <v>0.87900314969816329</v>
      </c>
      <c r="E12" s="26">
        <f>IF(A12&gt;200,"",IF($C$1='Adj-Mixed'!$A$21,VLOOKUP(A12,'800'!$A$7:$AB$188,9,FALSE),IF($C$1='Adj-Mixed'!$A$20,VLOOKUP(A12,'800'!$A$7:$AB$188,18,FALSE),IF($C$1='Adj-Mixed'!$A$19,VLOOKUP(A12,'800'!$A$7:$AB$188,27,FALSE)))))</f>
        <v>1.137652351238315</v>
      </c>
      <c r="F12" s="26">
        <f t="shared" si="1"/>
        <v>0.29983475781994129</v>
      </c>
      <c r="G12" s="27">
        <f t="shared" si="9"/>
        <v>1.7338434424954148</v>
      </c>
      <c r="I12" s="127">
        <f t="shared" si="7"/>
        <v>14.584797138195615</v>
      </c>
      <c r="J12" s="25">
        <f>IF(A12&gt;200,"",C12*'Adj-Gilts'!$C$6)</f>
        <v>414.22662791061799</v>
      </c>
      <c r="K12" s="26">
        <f>IF(A12&gt;200,"",D12*'Adj-Gilts'!$C$7)</f>
        <v>0.55104892516318582</v>
      </c>
      <c r="L12" s="1">
        <f t="shared" si="2"/>
        <v>1.8147208974300482</v>
      </c>
      <c r="M12" s="26">
        <f t="shared" si="3"/>
        <v>0.7517057179413793</v>
      </c>
      <c r="N12" s="30">
        <f t="shared" si="10"/>
        <v>4.3468610484500898</v>
      </c>
    </row>
    <row r="13" spans="1:14" ht="15" customHeight="1" x14ac:dyDescent="0.25">
      <c r="A13" s="114">
        <f t="shared" si="4"/>
        <v>31</v>
      </c>
      <c r="B13" s="127">
        <f>IF(A13&gt;200,"",IF($C$1='Adj-Mixed'!$A$21,VLOOKUP(A13,'800'!$A$6:$AB$188,3,FALSE),IF($C$1='Adj-Mixed'!$A$20,VLOOKUP(A13,'800'!$A$6:$AB$188,12,FALSE),IF($C$1='Adj-Mixed'!$A$19,VLOOKUP(A13,'800'!$A$6:$AB$188,21,FALSE)))))</f>
        <v>8.0275856674787267</v>
      </c>
      <c r="C13" s="126">
        <f t="shared" si="8"/>
        <v>283.3989746410017</v>
      </c>
      <c r="D13" s="26">
        <f t="shared" si="6"/>
        <v>0.86761795775288808</v>
      </c>
      <c r="E13" s="26">
        <f>IF(A13&gt;200,"",IF($C$1='Adj-Mixed'!$A$21,VLOOKUP(A13,'800'!$A$7:$AB$188,9,FALSE),IF($C$1='Adj-Mixed'!$A$20,VLOOKUP(A13,'800'!$A$7:$AB$188,18,FALSE),IF($C$1='Adj-Mixed'!$A$19,VLOOKUP(A13,'800'!$A$7:$AB$188,27,FALSE)))))</f>
        <v>1.1525810306992477</v>
      </c>
      <c r="F13" s="26">
        <f t="shared" si="1"/>
        <v>0.32664028229083569</v>
      </c>
      <c r="G13" s="27">
        <f t="shared" si="9"/>
        <v>2.0604837247862506</v>
      </c>
      <c r="I13" s="127">
        <f t="shared" si="7"/>
        <v>15.030211155696108</v>
      </c>
      <c r="J13" s="25">
        <f>IF(A13&gt;200,"",C13*'Adj-Gilts'!$C$6)</f>
        <v>445.4140175004934</v>
      </c>
      <c r="K13" s="26">
        <f>IF(A13&gt;200,"",D13*'Adj-Gilts'!$C$7)</f>
        <v>0.54391152436277368</v>
      </c>
      <c r="L13" s="1">
        <f t="shared" si="2"/>
        <v>1.8385343115712844</v>
      </c>
      <c r="M13" s="26">
        <f t="shared" si="3"/>
        <v>0.81890895402946973</v>
      </c>
      <c r="N13" s="30">
        <f t="shared" si="10"/>
        <v>5.1657700024795599</v>
      </c>
    </row>
    <row r="14" spans="1:14" ht="15" customHeight="1" x14ac:dyDescent="0.25">
      <c r="A14" s="114">
        <f t="shared" si="4"/>
        <v>32</v>
      </c>
      <c r="B14" s="127">
        <f>IF(A14&gt;200,"",IF($C$1='Adj-Mixed'!$A$21,VLOOKUP(A14,'800'!$A$6:$AB$188,3,FALSE),IF($C$1='Adj-Mixed'!$A$20,VLOOKUP(A14,'800'!$A$6:$AB$188,12,FALSE),IF($C$1='Adj-Mixed'!$A$19,VLOOKUP(A14,'800'!$A$6:$AB$188,21,FALSE)))))</f>
        <v>8.330244294420714</v>
      </c>
      <c r="C14" s="126">
        <f t="shared" si="8"/>
        <v>302.65862694198734</v>
      </c>
      <c r="D14" s="26">
        <f t="shared" si="6"/>
        <v>0.85630843866827244</v>
      </c>
      <c r="E14" s="26">
        <f>IF(A14&gt;200,"",IF($C$1='Adj-Mixed'!$A$21,VLOOKUP(A14,'800'!$A$7:$AB$188,9,FALSE),IF($C$1='Adj-Mixed'!$A$20,VLOOKUP(A14,'800'!$A$7:$AB$188,18,FALSE),IF($C$1='Adj-Mixed'!$A$19,VLOOKUP(A14,'800'!$A$7:$AB$188,27,FALSE)))))</f>
        <v>1.1678035096269705</v>
      </c>
      <c r="F14" s="26">
        <f t="shared" si="1"/>
        <v>0.35344580676173282</v>
      </c>
      <c r="G14" s="27">
        <f t="shared" si="9"/>
        <v>2.4139295315479834</v>
      </c>
      <c r="I14" s="127">
        <f t="shared" si="7"/>
        <v>15.505895286622071</v>
      </c>
      <c r="J14" s="25">
        <f>IF(A14&gt;200,"",C14*'Adj-Gilts'!$C$6)</f>
        <v>475.68413092596199</v>
      </c>
      <c r="K14" s="26">
        <f>IF(A14&gt;200,"",D14*'Adj-Gilts'!$C$7)</f>
        <v>0.53682156303802764</v>
      </c>
      <c r="L14" s="1">
        <f t="shared" si="2"/>
        <v>1.8628163785759879</v>
      </c>
      <c r="M14" s="26">
        <f t="shared" si="3"/>
        <v>0.88611219011756659</v>
      </c>
      <c r="N14" s="30">
        <f t="shared" si="10"/>
        <v>6.0518821925971267</v>
      </c>
    </row>
    <row r="15" spans="1:14" ht="15" customHeight="1" x14ac:dyDescent="0.25">
      <c r="A15" s="114">
        <f t="shared" si="4"/>
        <v>33</v>
      </c>
      <c r="B15" s="127">
        <f>IF(A15&gt;200,"",IF($C$1='Adj-Mixed'!$A$21,VLOOKUP(A15,'800'!$A$6:$AB$188,3,FALSE),IF($C$1='Adj-Mixed'!$A$20,VLOOKUP(A15,'800'!$A$6:$AB$188,12,FALSE),IF($C$1='Adj-Mixed'!$A$19,VLOOKUP(A15,'800'!$A$6:$AB$188,21,FALSE)))))</f>
        <v>8.6515789478363825</v>
      </c>
      <c r="C15" s="126">
        <f t="shared" si="8"/>
        <v>321.33465341566847</v>
      </c>
      <c r="D15" s="26">
        <f t="shared" si="6"/>
        <v>0.84505858894438823</v>
      </c>
      <c r="E15" s="26">
        <f>IF(A15&gt;200,"",IF($C$1='Adj-Mixed'!$A$21,VLOOKUP(A15,'800'!$A$7:$AB$188,9,FALSE),IF($C$1='Adj-Mixed'!$A$20,VLOOKUP(A15,'800'!$A$7:$AB$188,18,FALSE),IF($C$1='Adj-Mixed'!$A$19,VLOOKUP(A15,'800'!$A$7:$AB$188,27,FALSE)))))</f>
        <v>1.1833499038796329</v>
      </c>
      <c r="F15" s="26">
        <f t="shared" si="1"/>
        <v>0.38025133123262644</v>
      </c>
      <c r="G15" s="27">
        <f t="shared" si="9"/>
        <v>2.79418086278061</v>
      </c>
      <c r="I15" s="127">
        <f t="shared" si="7"/>
        <v>16.010932254809092</v>
      </c>
      <c r="J15" s="25">
        <f>IF(A15&gt;200,"",C15*'Adj-Gilts'!$C$6)</f>
        <v>505.03696818701951</v>
      </c>
      <c r="K15" s="26">
        <f>IF(A15&gt;200,"",D15*'Adj-Gilts'!$C$7)</f>
        <v>0.5297690085611495</v>
      </c>
      <c r="L15" s="1">
        <f t="shared" si="2"/>
        <v>1.8876151376162904</v>
      </c>
      <c r="M15" s="26">
        <f t="shared" si="3"/>
        <v>0.9533154262056549</v>
      </c>
      <c r="N15" s="30">
        <f t="shared" si="10"/>
        <v>7.0051976188027814</v>
      </c>
    </row>
    <row r="16" spans="1:14" ht="15" customHeight="1" x14ac:dyDescent="0.25">
      <c r="A16" s="114">
        <f t="shared" si="4"/>
        <v>34</v>
      </c>
      <c r="B16" s="127">
        <f>IF(A16&gt;200,"",IF($C$1='Adj-Mixed'!$A$21,VLOOKUP(A16,'800'!$A$6:$AB$188,3,FALSE),IF($C$1='Adj-Mixed'!$A$20,VLOOKUP(A16,'800'!$A$6:$AB$188,12,FALSE),IF($C$1='Adj-Mixed'!$A$19,VLOOKUP(A16,'800'!$A$6:$AB$188,21,FALSE)))))</f>
        <v>8.9910060018984286</v>
      </c>
      <c r="C16" s="126">
        <f t="shared" si="8"/>
        <v>339.42705406204607</v>
      </c>
      <c r="D16" s="26">
        <f t="shared" si="6"/>
        <v>0.83385662053378429</v>
      </c>
      <c r="E16" s="26">
        <f>IF(A16&gt;200,"",IF($C$1='Adj-Mixed'!$A$21,VLOOKUP(A16,'800'!$A$7:$AB$188,9,FALSE),IF($C$1='Adj-Mixed'!$A$20,VLOOKUP(A16,'800'!$A$7:$AB$188,18,FALSE),IF($C$1='Adj-Mixed'!$A$19,VLOOKUP(A16,'800'!$A$7:$AB$188,27,FALSE)))))</f>
        <v>1.1992469393117737</v>
      </c>
      <c r="F16" s="26">
        <f t="shared" si="1"/>
        <v>0.40705685570352068</v>
      </c>
      <c r="G16" s="27">
        <f t="shared" si="9"/>
        <v>3.2012377184841307</v>
      </c>
      <c r="I16" s="127">
        <f t="shared" si="7"/>
        <v>16.544404784092759</v>
      </c>
      <c r="J16" s="25">
        <f>IF(A16&gt;200,"",C16*'Adj-Gilts'!$C$6)</f>
        <v>533.47252928366743</v>
      </c>
      <c r="K16" s="26">
        <f>IF(A16&gt;200,"",D16*'Adj-Gilts'!$C$7)</f>
        <v>0.52274647098037408</v>
      </c>
      <c r="L16" s="1">
        <f t="shared" si="2"/>
        <v>1.9129732203157119</v>
      </c>
      <c r="M16" s="26">
        <f t="shared" si="3"/>
        <v>1.020518662293745</v>
      </c>
      <c r="N16" s="30">
        <f t="shared" si="10"/>
        <v>8.0257162810965266</v>
      </c>
    </row>
    <row r="17" spans="1:14" ht="15" customHeight="1" x14ac:dyDescent="0.25">
      <c r="A17" s="114">
        <f t="shared" si="4"/>
        <v>35</v>
      </c>
      <c r="B17" s="127">
        <f>IF(A17&gt;200,"",IF($C$1='Adj-Mixed'!$A$21,VLOOKUP(A17,'800'!$A$6:$AB$188,3,FALSE),IF($C$1='Adj-Mixed'!$A$20,VLOOKUP(A17,'800'!$A$6:$AB$188,12,FALSE),IF($C$1='Adj-Mixed'!$A$19,VLOOKUP(A17,'800'!$A$6:$AB$188,21,FALSE)))))</f>
        <v>9.3479418307795541</v>
      </c>
      <c r="C17" s="126">
        <f t="shared" si="8"/>
        <v>356.93582888112553</v>
      </c>
      <c r="D17" s="26">
        <f t="shared" si="6"/>
        <v>0.82269365861505006</v>
      </c>
      <c r="E17" s="26">
        <f>IF(A17&gt;200,"",IF($C$1='Adj-Mixed'!$A$21,VLOOKUP(A17,'800'!$A$7:$AB$188,9,FALSE),IF($C$1='Adj-Mixed'!$A$20,VLOOKUP(A17,'800'!$A$7:$AB$188,18,FALSE),IF($C$1='Adj-Mixed'!$A$19,VLOOKUP(A17,'800'!$A$7:$AB$188,27,FALSE)))))</f>
        <v>1.2155192756480382</v>
      </c>
      <c r="F17" s="26">
        <f t="shared" si="1"/>
        <v>0.43386238017441781</v>
      </c>
      <c r="G17" s="27">
        <f t="shared" si="9"/>
        <v>3.6351000986585484</v>
      </c>
      <c r="I17" s="127">
        <f t="shared" si="7"/>
        <v>17.105395598308672</v>
      </c>
      <c r="J17" s="25">
        <f>IF(A17&gt;200,"",C17*'Adj-Gilts'!$C$6)</f>
        <v>560.99081421591416</v>
      </c>
      <c r="K17" s="26">
        <f>IF(A17&gt;200,"",D17*'Adj-Gilts'!$C$7)</f>
        <v>0.51574838665147449</v>
      </c>
      <c r="L17" s="1">
        <f t="shared" si="2"/>
        <v>1.9389299625202057</v>
      </c>
      <c r="M17" s="26">
        <f t="shared" si="3"/>
        <v>1.087721898381842</v>
      </c>
      <c r="N17" s="30">
        <f t="shared" si="10"/>
        <v>9.1134381794783685</v>
      </c>
    </row>
    <row r="18" spans="1:14" ht="15" customHeight="1" x14ac:dyDescent="0.25">
      <c r="A18" s="114">
        <f t="shared" si="4"/>
        <v>36</v>
      </c>
      <c r="B18" s="127">
        <f>IF(A18&gt;200,"",IF($C$1='Adj-Mixed'!$A$21,VLOOKUP(A18,'800'!$A$6:$AB$188,3,FALSE),IF($C$1='Adj-Mixed'!$A$20,VLOOKUP(A18,'800'!$A$6:$AB$188,12,FALSE),IF($C$1='Adj-Mixed'!$A$19,VLOOKUP(A18,'800'!$A$6:$AB$188,21,FALSE)))))</f>
        <v>9.7218028086524519</v>
      </c>
      <c r="C18" s="126">
        <f t="shared" si="8"/>
        <v>373.86097787289782</v>
      </c>
      <c r="D18" s="26">
        <f t="shared" si="6"/>
        <v>0.81156289401309423</v>
      </c>
      <c r="E18" s="26">
        <f>IF(A18&gt;200,"",IF($C$1='Adj-Mixed'!$A$21,VLOOKUP(A18,'800'!$A$7:$AB$188,9,FALSE),IF($C$1='Adj-Mixed'!$A$20,VLOOKUP(A18,'800'!$A$7:$AB$188,18,FALSE),IF($C$1='Adj-Mixed'!$A$19,VLOOKUP(A18,'800'!$A$7:$AB$188,27,FALSE)))))</f>
        <v>1.232190391375712</v>
      </c>
      <c r="F18" s="26">
        <f t="shared" si="1"/>
        <v>0.46066790464531238</v>
      </c>
      <c r="G18" s="27">
        <f t="shared" si="9"/>
        <v>4.0957680033038608</v>
      </c>
      <c r="I18" s="127">
        <f t="shared" si="7"/>
        <v>17.692987421292418</v>
      </c>
      <c r="J18" s="25">
        <f>IF(A18&gt;200,"",C18*'Adj-Gilts'!$C$6)</f>
        <v>587.5918229837456</v>
      </c>
      <c r="K18" s="26">
        <f>IF(A18&gt;200,"",D18*'Adj-Gilts'!$C$7)</f>
        <v>0.50877048688825033</v>
      </c>
      <c r="L18" s="1">
        <f t="shared" si="2"/>
        <v>1.9655228158304052</v>
      </c>
      <c r="M18" s="26">
        <f t="shared" si="3"/>
        <v>1.1549251344699325</v>
      </c>
      <c r="N18" s="30">
        <f t="shared" si="10"/>
        <v>10.268363313948301</v>
      </c>
    </row>
    <row r="19" spans="1:14" ht="15" customHeight="1" x14ac:dyDescent="0.25">
      <c r="A19" s="114">
        <f t="shared" si="4"/>
        <v>37</v>
      </c>
      <c r="B19" s="127">
        <f>IF(A19&gt;200,"",IF($C$1='Adj-Mixed'!$A$21,VLOOKUP(A19,'800'!$A$6:$AB$188,3,FALSE),IF($C$1='Adj-Mixed'!$A$20,VLOOKUP(A19,'800'!$A$6:$AB$188,12,FALSE),IF($C$1='Adj-Mixed'!$A$19,VLOOKUP(A19,'800'!$A$6:$AB$188,21,FALSE)))))</f>
        <v>10.112005309689822</v>
      </c>
      <c r="C19" s="126">
        <f t="shared" si="8"/>
        <v>390.20250103737021</v>
      </c>
      <c r="D19" s="26">
        <f t="shared" si="6"/>
        <v>0.80045901526327234</v>
      </c>
      <c r="E19" s="26">
        <f>IF(A19&gt;200,"",IF($C$1='Adj-Mixed'!$A$21,VLOOKUP(A19,'800'!$A$7:$AB$188,9,FALSE),IF($C$1='Adj-Mixed'!$A$20,VLOOKUP(A19,'800'!$A$7:$AB$188,18,FALSE),IF($C$1='Adj-Mixed'!$A$19,VLOOKUP(A19,'800'!$A$7:$AB$188,27,FALSE)))))</f>
        <v>1.2492831999288536</v>
      </c>
      <c r="F19" s="26">
        <f t="shared" si="1"/>
        <v>0.48747342911620767</v>
      </c>
      <c r="G19" s="27">
        <f t="shared" si="9"/>
        <v>4.5832414324200688</v>
      </c>
      <c r="I19" s="127">
        <f t="shared" si="7"/>
        <v>18.306262976879591</v>
      </c>
      <c r="J19" s="25">
        <f>IF(A19&gt;200,"",C19*'Adj-Gilts'!$C$6)</f>
        <v>613.27555558717313</v>
      </c>
      <c r="K19" s="26">
        <f>IF(A19&gt;200,"",D19*'Adj-Gilts'!$C$7)</f>
        <v>0.50180944192233312</v>
      </c>
      <c r="L19" s="1">
        <f t="shared" si="2"/>
        <v>1.9927883305048963</v>
      </c>
      <c r="M19" s="26">
        <f t="shared" si="3"/>
        <v>1.2221283705580257</v>
      </c>
      <c r="N19" s="30">
        <f t="shared" si="10"/>
        <v>11.490491684506328</v>
      </c>
    </row>
    <row r="20" spans="1:14" ht="15" customHeight="1" x14ac:dyDescent="0.25">
      <c r="A20" s="114">
        <f t="shared" si="4"/>
        <v>38</v>
      </c>
      <c r="B20" s="127">
        <f>IF(A20&gt;200,"",IF($C$1='Adj-Mixed'!$A$21,VLOOKUP(A20,'800'!$A$6:$AB$188,3,FALSE),IF($C$1='Adj-Mixed'!$A$20,VLOOKUP(A20,'800'!$A$6:$AB$188,12,FALSE),IF($C$1='Adj-Mixed'!$A$19,VLOOKUP(A20,'800'!$A$6:$AB$188,21,FALSE)))))</f>
        <v>10.517965708064361</v>
      </c>
      <c r="C20" s="126">
        <f t="shared" si="8"/>
        <v>405.96039837453901</v>
      </c>
      <c r="D20" s="26">
        <f t="shared" si="6"/>
        <v>0.78937781828900255</v>
      </c>
      <c r="E20" s="26">
        <f>IF(A20&gt;200,"",IF($C$1='Adj-Mixed'!$A$21,VLOOKUP(A20,'800'!$A$7:$AB$188,9,FALSE),IF($C$1='Adj-Mixed'!$A$20,VLOOKUP(A20,'800'!$A$7:$AB$188,18,FALSE),IF($C$1='Adj-Mixed'!$A$19,VLOOKUP(A20,'800'!$A$7:$AB$188,27,FALSE)))))</f>
        <v>1.2668204968914969</v>
      </c>
      <c r="F20" s="26">
        <f t="shared" si="1"/>
        <v>0.51427895358710352</v>
      </c>
      <c r="G20" s="27">
        <f t="shared" si="9"/>
        <v>5.0975203860071723</v>
      </c>
      <c r="I20" s="127">
        <f t="shared" si="7"/>
        <v>18.944304988905781</v>
      </c>
      <c r="J20" s="25">
        <f>IF(A20&gt;200,"",C20*'Adj-Gilts'!$C$6)</f>
        <v>638.04201202619095</v>
      </c>
      <c r="K20" s="26">
        <f>IF(A20&gt;200,"",D20*'Adj-Gilts'!$C$7)</f>
        <v>0.49486261620926292</v>
      </c>
      <c r="L20" s="1">
        <f t="shared" si="2"/>
        <v>2.0207628688143404</v>
      </c>
      <c r="M20" s="26">
        <f t="shared" si="3"/>
        <v>1.2893316066461193</v>
      </c>
      <c r="N20" s="30">
        <f t="shared" si="10"/>
        <v>12.779823291152447</v>
      </c>
    </row>
    <row r="21" spans="1:14" ht="15" customHeight="1" x14ac:dyDescent="0.25">
      <c r="A21" s="114">
        <f t="shared" si="4"/>
        <v>39</v>
      </c>
      <c r="B21" s="127">
        <f>IF(A21&gt;200,"",IF($C$1='Adj-Mixed'!$A$21,VLOOKUP(A21,'800'!$A$6:$AB$188,3,FALSE),IF($C$1='Adj-Mixed'!$A$20,VLOOKUP(A21,'800'!$A$6:$AB$188,12,FALSE),IF($C$1='Adj-Mixed'!$A$19,VLOOKUP(A21,'800'!$A$6:$AB$188,21,FALSE)))))</f>
        <v>10.939100377948769</v>
      </c>
      <c r="C21" s="126">
        <f t="shared" si="8"/>
        <v>421.13466988440786</v>
      </c>
      <c r="D21" s="26">
        <f t="shared" si="6"/>
        <v>0.77831593209973204</v>
      </c>
      <c r="E21" s="26">
        <f>IF(A21&gt;200,"",IF($C$1='Adj-Mixed'!$A$21,VLOOKUP(A21,'800'!$A$7:$AB$188,9,FALSE),IF($C$1='Adj-Mixed'!$A$20,VLOOKUP(A21,'800'!$A$7:$AB$188,18,FALSE),IF($C$1='Adj-Mixed'!$A$19,VLOOKUP(A21,'800'!$A$7:$AB$188,27,FALSE)))))</f>
        <v>1.2848252987732258</v>
      </c>
      <c r="F21" s="26">
        <f t="shared" si="1"/>
        <v>0.54108447805799809</v>
      </c>
      <c r="G21" s="27">
        <f t="shared" si="9"/>
        <v>5.6386048640651705</v>
      </c>
      <c r="I21" s="127">
        <f t="shared" si="7"/>
        <v>19.606196181206585</v>
      </c>
      <c r="J21" s="25">
        <f>IF(A21&gt;200,"",C21*'Adj-Gilts'!$C$6)</f>
        <v>661.89119230080473</v>
      </c>
      <c r="K21" s="26">
        <f>IF(A21&gt;200,"",D21*'Adj-Gilts'!$C$7)</f>
        <v>0.48792789646796492</v>
      </c>
      <c r="L21" s="1">
        <f t="shared" si="2"/>
        <v>2.0494831454377715</v>
      </c>
      <c r="M21" s="26">
        <f t="shared" si="3"/>
        <v>1.3565348427342101</v>
      </c>
      <c r="N21" s="30">
        <f t="shared" si="10"/>
        <v>14.136358133886656</v>
      </c>
    </row>
    <row r="22" spans="1:14" ht="15" customHeight="1" x14ac:dyDescent="0.25">
      <c r="A22" s="114">
        <f t="shared" si="4"/>
        <v>40</v>
      </c>
      <c r="B22" s="127">
        <f>IF(A22&gt;200,"",IF($C$1='Adj-Mixed'!$A$21,VLOOKUP(A22,'800'!$A$6:$AB$188,3,FALSE),IF($C$1='Adj-Mixed'!$A$20,VLOOKUP(A22,'800'!$A$6:$AB$188,12,FALSE),IF($C$1='Adj-Mixed'!$A$19,VLOOKUP(A22,'800'!$A$6:$AB$188,21,FALSE)))))</f>
        <v>11.374825693515737</v>
      </c>
      <c r="C22" s="126">
        <f t="shared" si="8"/>
        <v>435.72531556696782</v>
      </c>
      <c r="D22" s="26">
        <f t="shared" si="6"/>
        <v>0.76727062217440412</v>
      </c>
      <c r="E22" s="26">
        <f>IF(A22&gt;200,"",IF($C$1='Adj-Mixed'!$A$21,VLOOKUP(A22,'800'!$A$7:$AB$188,9,FALSE),IF($C$1='Adj-Mixed'!$A$20,VLOOKUP(A22,'800'!$A$7:$AB$188,18,FALSE),IF($C$1='Adj-Mixed'!$A$19,VLOOKUP(A22,'800'!$A$7:$AB$188,27,FALSE)))))</f>
        <v>1.3033211113518894</v>
      </c>
      <c r="F22" s="26">
        <f t="shared" si="1"/>
        <v>0.56789000252889321</v>
      </c>
      <c r="G22" s="27">
        <f t="shared" si="9"/>
        <v>6.2064948665940634</v>
      </c>
      <c r="I22" s="127">
        <f t="shared" si="7"/>
        <v>20.291019277617586</v>
      </c>
      <c r="J22" s="25">
        <f>IF(A22&gt;200,"",C22*'Adj-Gilts'!$C$6)</f>
        <v>684.82309641100051</v>
      </c>
      <c r="K22" s="26">
        <f>IF(A22&gt;200,"",D22*'Adj-Gilts'!$C$7)</f>
        <v>0.48100356842143144</v>
      </c>
      <c r="L22" s="1">
        <f t="shared" si="2"/>
        <v>2.0789866555082388</v>
      </c>
      <c r="M22" s="26">
        <f t="shared" si="3"/>
        <v>1.423738078822302</v>
      </c>
      <c r="N22" s="30">
        <f t="shared" si="10"/>
        <v>15.560096212708958</v>
      </c>
    </row>
    <row r="23" spans="1:14" ht="15" customHeight="1" x14ac:dyDescent="0.25">
      <c r="A23" s="114">
        <f t="shared" si="4"/>
        <v>41</v>
      </c>
      <c r="B23" s="127">
        <f>IF(A23&gt;200,"",IF($C$1='Adj-Mixed'!$A$21,VLOOKUP(A23,'800'!$A$6:$AB$188,3,FALSE),IF($C$1='Adj-Mixed'!$A$20,VLOOKUP(A23,'800'!$A$6:$AB$188,12,FALSE),IF($C$1='Adj-Mixed'!$A$19,VLOOKUP(A23,'800'!$A$6:$AB$188,21,FALSE)))))</f>
        <v>11.82455802893797</v>
      </c>
      <c r="C23" s="126">
        <f t="shared" si="8"/>
        <v>449.73233542223312</v>
      </c>
      <c r="D23" s="26">
        <f t="shared" si="6"/>
        <v>0.76311906882242153</v>
      </c>
      <c r="E23" s="26">
        <f>IF(A23&gt;200,"",IF($C$1='Adj-Mixed'!$A$21,VLOOKUP(A23,'800'!$A$7:$AB$188,9,FALSE),IF($C$1='Adj-Mixed'!$A$20,VLOOKUP(A23,'800'!$A$7:$AB$188,18,FALSE),IF($C$1='Adj-Mixed'!$A$19,VLOOKUP(A23,'800'!$A$7:$AB$188,27,FALSE)))))</f>
        <v>1.310411495211504</v>
      </c>
      <c r="F23" s="26">
        <f t="shared" si="1"/>
        <v>0.58933442210561016</v>
      </c>
      <c r="G23" s="27">
        <f t="shared" si="9"/>
        <v>6.7958292886996734</v>
      </c>
      <c r="I23" s="127">
        <f t="shared" si="7"/>
        <v>20.997857001974388</v>
      </c>
      <c r="J23" s="25">
        <f>IF(A23&gt;200,"",C23*'Adj-Gilts'!$C$6)</f>
        <v>706.83772435680066</v>
      </c>
      <c r="K23" s="26">
        <f>IF(A23&gt;200,"",D23*'Adj-Gilts'!$C$7)</f>
        <v>0.47840095088456236</v>
      </c>
      <c r="L23" s="1">
        <f t="shared" si="2"/>
        <v>2.0902968485973994</v>
      </c>
      <c r="M23" s="26">
        <f t="shared" si="3"/>
        <v>1.4775006676927778</v>
      </c>
      <c r="N23" s="30">
        <f t="shared" si="10"/>
        <v>17.037596880401736</v>
      </c>
    </row>
    <row r="24" spans="1:14" ht="15" customHeight="1" x14ac:dyDescent="0.25">
      <c r="A24" s="114">
        <f t="shared" si="4"/>
        <v>42</v>
      </c>
      <c r="B24" s="127">
        <f>IF(A24&gt;200,"",IF($C$1='Adj-Mixed'!$A$21,VLOOKUP(A24,'800'!$A$6:$AB$188,3,FALSE),IF($C$1='Adj-Mixed'!$A$20,VLOOKUP(A24,'800'!$A$6:$AB$188,12,FALSE),IF($C$1='Adj-Mixed'!$A$19,VLOOKUP(A24,'800'!$A$6:$AB$188,21,FALSE)))))</f>
        <v>12.287713758388159</v>
      </c>
      <c r="C24" s="126">
        <f t="shared" si="8"/>
        <v>463.1557294501896</v>
      </c>
      <c r="D24" s="26">
        <f t="shared" si="6"/>
        <v>0.75830349357629412</v>
      </c>
      <c r="E24" s="26">
        <f>IF(A24&gt;200,"",IF($C$1='Adj-Mixed'!$A$21,VLOOKUP(A24,'800'!$A$7:$AB$188,9,FALSE),IF($C$1='Adj-Mixed'!$A$20,VLOOKUP(A24,'800'!$A$7:$AB$188,18,FALSE),IF($C$1='Adj-Mixed'!$A$19,VLOOKUP(A24,'800'!$A$7:$AB$188,27,FALSE)))))</f>
        <v>1.3187332096860351</v>
      </c>
      <c r="F24" s="26">
        <f t="shared" si="1"/>
        <v>0.61077884168232555</v>
      </c>
      <c r="G24" s="27">
        <f t="shared" si="9"/>
        <v>7.4066081303819988</v>
      </c>
      <c r="I24" s="127">
        <f t="shared" si="7"/>
        <v>21.725792078112573</v>
      </c>
      <c r="J24" s="25">
        <f>IF(A24&gt;200,"",C24*'Adj-Gilts'!$C$6)</f>
        <v>727.93507613818281</v>
      </c>
      <c r="K24" s="26">
        <f>IF(A24&gt;200,"",D24*'Adj-Gilts'!$C$7)</f>
        <v>0.47538205662424921</v>
      </c>
      <c r="L24" s="1">
        <f t="shared" si="2"/>
        <v>2.10357119303394</v>
      </c>
      <c r="M24" s="26">
        <f t="shared" si="3"/>
        <v>1.5312632565632491</v>
      </c>
      <c r="N24" s="30">
        <f t="shared" si="10"/>
        <v>18.568860136964986</v>
      </c>
    </row>
    <row r="25" spans="1:14" ht="15" customHeight="1" x14ac:dyDescent="0.25">
      <c r="A25" s="114">
        <f t="shared" si="4"/>
        <v>43</v>
      </c>
      <c r="B25" s="127">
        <f>IF(A25&gt;200,"",IF($C$1='Adj-Mixed'!$A$21,VLOOKUP(A25,'800'!$A$6:$AB$188,3,FALSE),IF($C$1='Adj-Mixed'!$A$20,VLOOKUP(A25,'800'!$A$6:$AB$188,12,FALSE),IF($C$1='Adj-Mixed'!$A$19,VLOOKUP(A25,'800'!$A$6:$AB$188,21,FALSE)))))</f>
        <v>12.761240321499841</v>
      </c>
      <c r="C25" s="126">
        <f t="shared" si="8"/>
        <v>473.52656311168141</v>
      </c>
      <c r="D25" s="26">
        <f t="shared" si="6"/>
        <v>0.74898630298524072</v>
      </c>
      <c r="E25" s="26">
        <f>IF(A25&gt;200,"",IF($C$1='Adj-Mixed'!$A$21,VLOOKUP(A25,'800'!$A$7:$AB$188,9,FALSE),IF($C$1='Adj-Mixed'!$A$20,VLOOKUP(A25,'800'!$A$7:$AB$188,18,FALSE),IF($C$1='Adj-Mixed'!$A$19,VLOOKUP(A25,'800'!$A$7:$AB$188,27,FALSE)))))</f>
        <v>1.3351379004052437</v>
      </c>
      <c r="F25" s="26">
        <f t="shared" si="1"/>
        <v>0.63222326125904149</v>
      </c>
      <c r="G25" s="27">
        <f t="shared" si="9"/>
        <v>8.0388313916410397</v>
      </c>
      <c r="I25" s="127">
        <f t="shared" si="7"/>
        <v>22.470026841614995</v>
      </c>
      <c r="J25" s="25">
        <f>IF(A25&gt;200,"",C25*'Adj-Gilts'!$C$6)</f>
        <v>744.23476350242254</v>
      </c>
      <c r="K25" s="26">
        <f>IF(A25&gt;200,"",D25*'Adj-Gilts'!$C$7)</f>
        <v>0.4695410902266845</v>
      </c>
      <c r="L25" s="1">
        <f t="shared" si="2"/>
        <v>2.1297390597215275</v>
      </c>
      <c r="M25" s="26">
        <f t="shared" si="3"/>
        <v>1.5850258454337229</v>
      </c>
      <c r="N25" s="30">
        <f t="shared" si="10"/>
        <v>20.153885982398709</v>
      </c>
    </row>
    <row r="26" spans="1:14" ht="15" customHeight="1" x14ac:dyDescent="0.25">
      <c r="A26" s="114">
        <f t="shared" si="4"/>
        <v>44</v>
      </c>
      <c r="B26" s="127">
        <f>IF(A26&gt;200,"",IF($C$1='Adj-Mixed'!$A$21,VLOOKUP(A26,'800'!$A$6:$AB$188,3,FALSE),IF($C$1='Adj-Mixed'!$A$20,VLOOKUP(A26,'800'!$A$6:$AB$188,12,FALSE),IF($C$1='Adj-Mixed'!$A$19,VLOOKUP(A26,'800'!$A$6:$AB$188,21,FALSE)))))</f>
        <v>13.245369938634321</v>
      </c>
      <c r="C26" s="126">
        <f t="shared" si="8"/>
        <v>484.12961713447976</v>
      </c>
      <c r="D26" s="26">
        <f t="shared" si="6"/>
        <v>0.7406356950606573</v>
      </c>
      <c r="E26" s="26">
        <f>IF(A26&gt;200,"",IF($C$1='Adj-Mixed'!$A$21,VLOOKUP(A26,'800'!$A$7:$AB$188,9,FALSE),IF($C$1='Adj-Mixed'!$A$20,VLOOKUP(A26,'800'!$A$7:$AB$188,18,FALSE),IF($C$1='Adj-Mixed'!$A$19,VLOOKUP(A26,'800'!$A$7:$AB$188,27,FALSE)))))</f>
        <v>1.3501914729050442</v>
      </c>
      <c r="F26" s="26">
        <f t="shared" si="1"/>
        <v>0.65366768083575832</v>
      </c>
      <c r="G26" s="27">
        <f t="shared" si="9"/>
        <v>8.6924990724767977</v>
      </c>
      <c r="I26" s="127">
        <f t="shared" si="7"/>
        <v>23.230926269822191</v>
      </c>
      <c r="J26" s="25">
        <f>IF(A26&gt;200,"",C26*'Adj-Gilts'!$C$6)</f>
        <v>760.89942820719773</v>
      </c>
      <c r="K26" s="26">
        <f>IF(A26&gt;200,"",D26*'Adj-Gilts'!$C$7)</f>
        <v>0.46430607653773354</v>
      </c>
      <c r="L26" s="1">
        <f t="shared" si="2"/>
        <v>2.1537516964172907</v>
      </c>
      <c r="M26" s="26">
        <f t="shared" si="3"/>
        <v>1.6387884343041985</v>
      </c>
      <c r="N26" s="30">
        <f t="shared" si="10"/>
        <v>21.792674416702909</v>
      </c>
    </row>
    <row r="27" spans="1:14" ht="15" customHeight="1" x14ac:dyDescent="0.25">
      <c r="A27" s="114">
        <f t="shared" si="4"/>
        <v>45</v>
      </c>
      <c r="B27" s="127">
        <f>IF(A27&gt;200,"",IF($C$1='Adj-Mixed'!$A$21,VLOOKUP(A27,'800'!$A$6:$AB$188,3,FALSE),IF($C$1='Adj-Mixed'!$A$20,VLOOKUP(A27,'800'!$A$6:$AB$188,12,FALSE),IF($C$1='Adj-Mixed'!$A$19,VLOOKUP(A27,'800'!$A$6:$AB$188,21,FALSE)))))</f>
        <v>13.740340029956315</v>
      </c>
      <c r="C27" s="126">
        <f t="shared" si="8"/>
        <v>494.97009132199389</v>
      </c>
      <c r="D27" s="26">
        <f t="shared" si="6"/>
        <v>0.7331672636582599</v>
      </c>
      <c r="E27" s="26">
        <f>IF(A27&gt;200,"",IF($C$1='Adj-Mixed'!$A$21,VLOOKUP(A27,'800'!$A$7:$AB$188,9,FALSE),IF($C$1='Adj-Mixed'!$A$20,VLOOKUP(A27,'800'!$A$7:$AB$188,18,FALSE),IF($C$1='Adj-Mixed'!$A$19,VLOOKUP(A27,'800'!$A$7:$AB$188,27,FALSE)))))</f>
        <v>1.3639452408313129</v>
      </c>
      <c r="F27" s="26">
        <f t="shared" si="1"/>
        <v>0.67511210041247383</v>
      </c>
      <c r="G27" s="27">
        <f t="shared" si="9"/>
        <v>9.367611172889271</v>
      </c>
      <c r="I27" s="127">
        <f t="shared" si="7"/>
        <v>24.008863512529558</v>
      </c>
      <c r="J27" s="25">
        <f>IF(A27&gt;200,"",C27*'Adj-Gilts'!$C$6)</f>
        <v>777.93724270736527</v>
      </c>
      <c r="K27" s="26">
        <f>IF(A27&gt;200,"",D27*'Adj-Gilts'!$C$7)</f>
        <v>0.45962410116783953</v>
      </c>
      <c r="L27" s="1">
        <f t="shared" si="2"/>
        <v>2.1756909558466191</v>
      </c>
      <c r="M27" s="26">
        <f t="shared" si="3"/>
        <v>1.692551023174671</v>
      </c>
      <c r="N27" s="30">
        <f t="shared" si="10"/>
        <v>23.485225439877581</v>
      </c>
    </row>
    <row r="28" spans="1:14" ht="15" customHeight="1" x14ac:dyDescent="0.25">
      <c r="A28" s="114">
        <f t="shared" si="4"/>
        <v>46</v>
      </c>
      <c r="B28" s="127">
        <f>IF(A28&gt;200,"",IF($C$1='Adj-Mixed'!$A$21,VLOOKUP(A28,'800'!$A$6:$AB$188,3,FALSE),IF($C$1='Adj-Mixed'!$A$20,VLOOKUP(A28,'800'!$A$6:$AB$188,12,FALSE),IF($C$1='Adj-Mixed'!$A$19,VLOOKUP(A28,'800'!$A$6:$AB$188,21,FALSE)))))</f>
        <v>14.24639333186626</v>
      </c>
      <c r="C28" s="126">
        <f t="shared" si="8"/>
        <v>506.05330190994556</v>
      </c>
      <c r="D28" s="26">
        <f t="shared" si="6"/>
        <v>0.72650716400988924</v>
      </c>
      <c r="E28" s="26">
        <f>IF(A28&gt;200,"",IF($C$1='Adj-Mixed'!$A$21,VLOOKUP(A28,'800'!$A$7:$AB$188,9,FALSE),IF($C$1='Adj-Mixed'!$A$20,VLOOKUP(A28,'800'!$A$7:$AB$188,18,FALSE),IF($C$1='Adj-Mixed'!$A$19,VLOOKUP(A28,'800'!$A$7:$AB$188,27,FALSE)))))</f>
        <v>1.3764489182468516</v>
      </c>
      <c r="F28" s="26">
        <f t="shared" si="1"/>
        <v>0.69655651998919199</v>
      </c>
      <c r="G28" s="27">
        <f t="shared" si="9"/>
        <v>10.064167692878463</v>
      </c>
      <c r="I28" s="127">
        <f t="shared" si="7"/>
        <v>24.8042200749823</v>
      </c>
      <c r="J28" s="25">
        <f>IF(A28&gt;200,"",C28*'Adj-Gilts'!$C$6)</f>
        <v>795.35656245274208</v>
      </c>
      <c r="K28" s="26">
        <f>IF(A28&gt;200,"",D28*'Adj-Gilts'!$C$7)</f>
        <v>0.45544887067637357</v>
      </c>
      <c r="L28" s="1">
        <f t="shared" si="2"/>
        <v>2.1956361391673442</v>
      </c>
      <c r="M28" s="26">
        <f t="shared" si="3"/>
        <v>1.7463136120451495</v>
      </c>
      <c r="N28" s="30">
        <f t="shared" si="10"/>
        <v>25.231539051922731</v>
      </c>
    </row>
    <row r="29" spans="1:14" ht="15" customHeight="1" x14ac:dyDescent="0.25">
      <c r="A29" s="114">
        <f t="shared" si="4"/>
        <v>47</v>
      </c>
      <c r="B29" s="127">
        <f>IF(A29&gt;200,"",IF($C$1='Adj-Mixed'!$A$21,VLOOKUP(A29,'800'!$A$6:$AB$188,3,FALSE),IF($C$1='Adj-Mixed'!$A$20,VLOOKUP(A29,'800'!$A$6:$AB$188,12,FALSE),IF($C$1='Adj-Mixed'!$A$19,VLOOKUP(A29,'800'!$A$6:$AB$188,21,FALSE)))))</f>
        <v>14.763778016039764</v>
      </c>
      <c r="C29" s="126">
        <f t="shared" si="8"/>
        <v>517.3846841735035</v>
      </c>
      <c r="D29" s="26">
        <f t="shared" si="6"/>
        <v>0.71737667297405072</v>
      </c>
      <c r="E29" s="26">
        <f>IF(A29&gt;200,"",IF($C$1='Adj-Mixed'!$A$21,VLOOKUP(A29,'800'!$A$7:$AB$188,9,FALSE),IF($C$1='Adj-Mixed'!$A$20,VLOOKUP(A29,'800'!$A$7:$AB$188,18,FALSE),IF($C$1='Adj-Mixed'!$A$19,VLOOKUP(A29,'800'!$A$7:$AB$188,27,FALSE)))))</f>
        <v>1.3939678242592821</v>
      </c>
      <c r="F29" s="26">
        <f t="shared" si="1"/>
        <v>0.72121760250241451</v>
      </c>
      <c r="G29" s="27">
        <f t="shared" si="9"/>
        <v>10.785385295380879</v>
      </c>
      <c r="I29" s="127">
        <f t="shared" si="7"/>
        <v>25.617386004968001</v>
      </c>
      <c r="J29" s="25">
        <f>IF(A29&gt;200,"",C29*'Adj-Gilts'!$C$6)</f>
        <v>813.16592998570059</v>
      </c>
      <c r="K29" s="26">
        <f>IF(A29&gt;200,"",D29*'Adj-Gilts'!$C$7)</f>
        <v>0.44972494662304274</v>
      </c>
      <c r="L29" s="1">
        <f t="shared" si="2"/>
        <v>2.2235813412374368</v>
      </c>
      <c r="M29" s="26">
        <f t="shared" si="3"/>
        <v>1.8081405892461917</v>
      </c>
      <c r="N29" s="30">
        <f t="shared" si="10"/>
        <v>27.039679641168924</v>
      </c>
    </row>
    <row r="30" spans="1:14" ht="15" customHeight="1" x14ac:dyDescent="0.25">
      <c r="A30" s="114">
        <f t="shared" si="4"/>
        <v>48</v>
      </c>
      <c r="B30" s="127">
        <f>IF(A30&gt;200,"",IF($C$1='Adj-Mixed'!$A$21,VLOOKUP(A30,'800'!$A$6:$AB$188,3,FALSE),IF($C$1='Adj-Mixed'!$A$20,VLOOKUP(A30,'800'!$A$6:$AB$188,12,FALSE),IF($C$1='Adj-Mixed'!$A$19,VLOOKUP(A30,'800'!$A$6:$AB$188,21,FALSE)))))</f>
        <v>15.292747811132516</v>
      </c>
      <c r="C30" s="126">
        <f t="shared" si="8"/>
        <v>528.96979509275252</v>
      </c>
      <c r="D30" s="26">
        <f t="shared" si="6"/>
        <v>0.709190121288508</v>
      </c>
      <c r="E30" s="26">
        <f>IF(A30&gt;200,"",IF($C$1='Adj-Mixed'!$A$21,VLOOKUP(A30,'800'!$A$7:$AB$188,9,FALSE),IF($C$1='Adj-Mixed'!$A$20,VLOOKUP(A30,'800'!$A$7:$AB$188,18,FALSE),IF($C$1='Adj-Mixed'!$A$19,VLOOKUP(A30,'800'!$A$7:$AB$188,27,FALSE)))))</f>
        <v>1.410059122345257</v>
      </c>
      <c r="F30" s="26">
        <f t="shared" si="1"/>
        <v>0.74587868501563703</v>
      </c>
      <c r="G30" s="27">
        <f t="shared" si="9"/>
        <v>11.531263980396515</v>
      </c>
      <c r="I30" s="127">
        <f t="shared" si="7"/>
        <v>26.448760084098449</v>
      </c>
      <c r="J30" s="25">
        <f>IF(A30&gt;200,"",C30*'Adj-Gilts'!$C$6)</f>
        <v>831.37407913044694</v>
      </c>
      <c r="K30" s="26">
        <f>IF(A30&gt;200,"",D30*'Adj-Gilts'!$C$7)</f>
        <v>0.44459278013574371</v>
      </c>
      <c r="L30" s="1">
        <f t="shared" si="2"/>
        <v>2.2492493011125338</v>
      </c>
      <c r="M30" s="26">
        <f t="shared" si="3"/>
        <v>1.8699675664472342</v>
      </c>
      <c r="N30" s="30">
        <f t="shared" si="10"/>
        <v>28.909647207616157</v>
      </c>
    </row>
    <row r="31" spans="1:14" ht="15" customHeight="1" x14ac:dyDescent="0.25">
      <c r="A31" s="114">
        <f t="shared" si="4"/>
        <v>49</v>
      </c>
      <c r="B31" s="127">
        <f>IF(A31&gt;200,"",IF($C$1='Adj-Mixed'!$A$21,VLOOKUP(A31,'800'!$A$6:$AB$188,3,FALSE),IF($C$1='Adj-Mixed'!$A$20,VLOOKUP(A31,'800'!$A$6:$AB$188,12,FALSE),IF($C$1='Adj-Mixed'!$A$19,VLOOKUP(A31,'800'!$A$6:$AB$188,21,FALSE)))))</f>
        <v>15.833562127210406</v>
      </c>
      <c r="C31" s="126">
        <f t="shared" si="8"/>
        <v>540.81431607789023</v>
      </c>
      <c r="D31" s="26">
        <f t="shared" si="6"/>
        <v>0.70186425005979203</v>
      </c>
      <c r="E31" s="26">
        <f>IF(A31&gt;200,"",IF($C$1='Adj-Mixed'!$A$21,VLOOKUP(A31,'800'!$A$7:$AB$188,9,FALSE),IF($C$1='Adj-Mixed'!$A$20,VLOOKUP(A31,'800'!$A$7:$AB$188,18,FALSE),IF($C$1='Adj-Mixed'!$A$19,VLOOKUP(A31,'800'!$A$7:$AB$188,27,FALSE)))))</f>
        <v>1.4247769421434553</v>
      </c>
      <c r="F31" s="26">
        <f t="shared" si="1"/>
        <v>0.77053976752886055</v>
      </c>
      <c r="G31" s="27">
        <f t="shared" si="9"/>
        <v>12.301803747925376</v>
      </c>
      <c r="I31" s="127">
        <f t="shared" si="7"/>
        <v>27.298750023374623</v>
      </c>
      <c r="J31" s="25">
        <f>IF(A31&gt;200,"",C31*'Adj-Gilts'!$C$6)</f>
        <v>849.98993927617312</v>
      </c>
      <c r="K31" s="26">
        <f>IF(A31&gt;200,"",D31*'Adj-Gilts'!$C$7)</f>
        <v>0.44000017603887093</v>
      </c>
      <c r="L31" s="1">
        <f t="shared" si="2"/>
        <v>2.272726363435948</v>
      </c>
      <c r="M31" s="26">
        <f t="shared" si="3"/>
        <v>1.9317945436482793</v>
      </c>
      <c r="N31" s="30">
        <f t="shared" si="10"/>
        <v>30.841441751264437</v>
      </c>
    </row>
    <row r="32" spans="1:14" ht="15" customHeight="1" x14ac:dyDescent="0.25">
      <c r="A32" s="114">
        <f t="shared" si="4"/>
        <v>50</v>
      </c>
      <c r="B32" s="127">
        <f>IF(A32&gt;200,"",IF($C$1='Adj-Mixed'!$A$21,VLOOKUP(A32,'800'!$A$6:$AB$188,3,FALSE),IF($C$1='Adj-Mixed'!$A$20,VLOOKUP(A32,'800'!$A$6:$AB$188,12,FALSE),IF($C$1='Adj-Mixed'!$A$19,VLOOKUP(A32,'800'!$A$6:$AB$188,21,FALSE)))))</f>
        <v>16.386486182965825</v>
      </c>
      <c r="C32" s="126">
        <f t="shared" si="8"/>
        <v>552.92405575541898</v>
      </c>
      <c r="D32" s="26">
        <f t="shared" si="6"/>
        <v>0.69532628860514312</v>
      </c>
      <c r="E32" s="26">
        <f>IF(A32&gt;200,"",IF($C$1='Adj-Mixed'!$A$21,VLOOKUP(A32,'800'!$A$7:$AB$188,9,FALSE),IF($C$1='Adj-Mixed'!$A$20,VLOOKUP(A32,'800'!$A$7:$AB$188,18,FALSE),IF($C$1='Adj-Mixed'!$A$19,VLOOKUP(A32,'800'!$A$7:$AB$188,27,FALSE)))))</f>
        <v>1.4381737270512907</v>
      </c>
      <c r="F32" s="26">
        <f t="shared" si="1"/>
        <v>0.79520085004208663</v>
      </c>
      <c r="G32" s="27">
        <f t="shared" si="9"/>
        <v>13.097004597967462</v>
      </c>
      <c r="I32" s="127">
        <f t="shared" si="7"/>
        <v>28.167772663130698</v>
      </c>
      <c r="J32" s="25">
        <f>IF(A32&gt;200,"",C32*'Adj-Gilts'!$C$6)</f>
        <v>869.022639756074</v>
      </c>
      <c r="K32" s="26">
        <f>IF(A32&gt;200,"",D32*'Adj-Gilts'!$C$7)</f>
        <v>0.43590151423819395</v>
      </c>
      <c r="L32" s="1">
        <f t="shared" si="2"/>
        <v>2.2940961830510185</v>
      </c>
      <c r="M32" s="26">
        <f t="shared" si="3"/>
        <v>1.9936215208493298</v>
      </c>
      <c r="N32" s="30">
        <f t="shared" si="10"/>
        <v>32.835063272113764</v>
      </c>
    </row>
    <row r="33" spans="1:14" ht="15" customHeight="1" x14ac:dyDescent="0.25">
      <c r="A33" s="114">
        <f t="shared" si="4"/>
        <v>51</v>
      </c>
      <c r="B33" s="127">
        <f>IF(A33&gt;200,"",IF($C$1='Adj-Mixed'!$A$21,VLOOKUP(A33,'800'!$A$6:$AB$188,3,FALSE),IF($C$1='Adj-Mixed'!$A$20,VLOOKUP(A33,'800'!$A$6:$AB$188,12,FALSE),IF($C$1='Adj-Mixed'!$A$19,VLOOKUP(A33,'800'!$A$6:$AB$188,21,FALSE)))))</f>
        <v>16.951791135782546</v>
      </c>
      <c r="C33" s="126">
        <f t="shared" si="8"/>
        <v>565.30495281672086</v>
      </c>
      <c r="D33" s="26">
        <f t="shared" si="6"/>
        <v>0.68951238052339492</v>
      </c>
      <c r="E33" s="26">
        <f>IF(A33&gt;200,"",IF($C$1='Adj-Mixed'!$A$21,VLOOKUP(A33,'800'!$A$7:$AB$188,9,FALSE),IF($C$1='Adj-Mixed'!$A$20,VLOOKUP(A33,'800'!$A$7:$AB$188,18,FALSE),IF($C$1='Adj-Mixed'!$A$19,VLOOKUP(A33,'800'!$A$7:$AB$188,27,FALSE)))))</f>
        <v>1.4503002821224475</v>
      </c>
      <c r="F33" s="26">
        <f t="shared" si="1"/>
        <v>0.81986193255530715</v>
      </c>
      <c r="G33" s="27">
        <f t="shared" si="9"/>
        <v>13.916866530522769</v>
      </c>
      <c r="I33" s="127">
        <f t="shared" si="7"/>
        <v>29.056254177455109</v>
      </c>
      <c r="J33" s="25">
        <f>IF(A33&gt;200,"",C33*'Adj-Gilts'!$C$6)</f>
        <v>888.4815143244108</v>
      </c>
      <c r="K33" s="26">
        <f>IF(A33&gt;200,"",D33*'Adj-Gilts'!$C$7)</f>
        <v>0.43225676302138089</v>
      </c>
      <c r="L33" s="1">
        <f t="shared" si="2"/>
        <v>2.3134398014046496</v>
      </c>
      <c r="M33" s="26">
        <f t="shared" si="3"/>
        <v>2.0554484980503669</v>
      </c>
      <c r="N33" s="30">
        <f t="shared" si="10"/>
        <v>34.890511770164132</v>
      </c>
    </row>
    <row r="34" spans="1:14" ht="15" customHeight="1" x14ac:dyDescent="0.25">
      <c r="A34" s="114">
        <f t="shared" si="4"/>
        <v>52</v>
      </c>
      <c r="B34" s="127">
        <f>IF(A34&gt;200,"",IF($C$1='Adj-Mixed'!$A$21,VLOOKUP(A34,'800'!$A$6:$AB$188,3,FALSE),IF($C$1='Adj-Mixed'!$A$20,VLOOKUP(A34,'800'!$A$6:$AB$188,12,FALSE),IF($C$1='Adj-Mixed'!$A$19,VLOOKUP(A34,'800'!$A$6:$AB$188,21,FALSE)))))</f>
        <v>17.529754214713005</v>
      </c>
      <c r="C34" s="126">
        <f t="shared" si="8"/>
        <v>577.96307893045901</v>
      </c>
      <c r="D34" s="26">
        <f t="shared" si="6"/>
        <v>0.68436628560508661</v>
      </c>
      <c r="E34" s="26">
        <f>IF(A34&gt;200,"",IF($C$1='Adj-Mixed'!$A$21,VLOOKUP(A34,'800'!$A$7:$AB$188,9,FALSE),IF($C$1='Adj-Mixed'!$A$20,VLOOKUP(A34,'800'!$A$7:$AB$188,18,FALSE),IF($C$1='Adj-Mixed'!$A$19,VLOOKUP(A34,'800'!$A$7:$AB$188,27,FALSE)))))</f>
        <v>1.4612058206751724</v>
      </c>
      <c r="F34" s="26">
        <f t="shared" si="1"/>
        <v>0.84452301506853078</v>
      </c>
      <c r="G34" s="27">
        <f t="shared" si="9"/>
        <v>14.7613895455913</v>
      </c>
      <c r="I34" s="127">
        <f t="shared" si="7"/>
        <v>29.964630283188999</v>
      </c>
      <c r="J34" s="25">
        <f>IF(A34&gt;200,"",C34*'Adj-Gilts'!$C$6)</f>
        <v>908.37610573388974</v>
      </c>
      <c r="K34" s="26">
        <f>IF(A34&gt;200,"",D34*'Adj-Gilts'!$C$7)</f>
        <v>0.42903066528271488</v>
      </c>
      <c r="L34" s="1">
        <f t="shared" si="2"/>
        <v>2.3308357208943051</v>
      </c>
      <c r="M34" s="26">
        <f t="shared" si="3"/>
        <v>2.1172754752514122</v>
      </c>
      <c r="N34" s="30">
        <f t="shared" si="10"/>
        <v>37.007787245415543</v>
      </c>
    </row>
    <row r="35" spans="1:14" ht="15" customHeight="1" x14ac:dyDescent="0.25">
      <c r="A35" s="114">
        <f t="shared" si="4"/>
        <v>53</v>
      </c>
      <c r="B35" s="127">
        <f>IF(A35&gt;200,"",IF($C$1='Adj-Mixed'!$A$21,VLOOKUP(A35,'800'!$A$6:$AB$188,3,FALSE),IF($C$1='Adj-Mixed'!$A$20,VLOOKUP(A35,'800'!$A$6:$AB$188,12,FALSE),IF($C$1='Adj-Mixed'!$A$19,VLOOKUP(A35,'800'!$A$6:$AB$188,21,FALSE)))))</f>
        <v>18.120658856433128</v>
      </c>
      <c r="C35" s="126">
        <f t="shared" si="8"/>
        <v>590.90464172012253</v>
      </c>
      <c r="D35" s="26">
        <f t="shared" si="6"/>
        <v>0.67983830279929724</v>
      </c>
      <c r="E35" s="26">
        <f>IF(A35&gt;200,"",IF($C$1='Adj-Mixed'!$A$21,VLOOKUP(A35,'800'!$A$7:$AB$188,9,FALSE),IF($C$1='Adj-Mixed'!$A$20,VLOOKUP(A35,'800'!$A$7:$AB$188,18,FALSE),IF($C$1='Adj-Mixed'!$A$19,VLOOKUP(A35,'800'!$A$7:$AB$188,27,FALSE)))))</f>
        <v>1.4709380096449514</v>
      </c>
      <c r="F35" s="26">
        <f t="shared" si="1"/>
        <v>0.86918409758176018</v>
      </c>
      <c r="G35" s="27">
        <f t="shared" si="9"/>
        <v>15.63057364317306</v>
      </c>
      <c r="I35" s="127">
        <f t="shared" si="7"/>
        <v>30.893346453604426</v>
      </c>
      <c r="J35" s="25">
        <f>IF(A35&gt;200,"",C35*'Adj-Gilts'!$C$6)</f>
        <v>928.71617041542561</v>
      </c>
      <c r="K35" s="26">
        <f>IF(A35&gt;200,"",D35*'Adj-Gilts'!$C$7)</f>
        <v>0.4261920633287351</v>
      </c>
      <c r="L35" s="1">
        <f t="shared" si="2"/>
        <v>2.3463599772121264</v>
      </c>
      <c r="M35" s="26">
        <f t="shared" si="3"/>
        <v>2.1791024524524714</v>
      </c>
      <c r="N35" s="30">
        <f t="shared" si="10"/>
        <v>39.186889697868011</v>
      </c>
    </row>
    <row r="36" spans="1:14" ht="15" customHeight="1" x14ac:dyDescent="0.25">
      <c r="A36" s="114">
        <f t="shared" si="4"/>
        <v>54</v>
      </c>
      <c r="B36" s="127">
        <f>IF(A36&gt;200,"",IF($C$1='Adj-Mixed'!$A$21,VLOOKUP(A36,'800'!$A$6:$AB$188,3,FALSE),IF($C$1='Adj-Mixed'!$A$20,VLOOKUP(A36,'800'!$A$6:$AB$188,12,FALSE),IF($C$1='Adj-Mixed'!$A$19,VLOOKUP(A36,'800'!$A$6:$AB$188,21,FALSE)))))</f>
        <v>18.724794844241433</v>
      </c>
      <c r="C36" s="126">
        <f t="shared" si="8"/>
        <v>604.13598780830569</v>
      </c>
      <c r="D36" s="26">
        <f t="shared" si="6"/>
        <v>0.67588437154643721</v>
      </c>
      <c r="E36" s="26">
        <f>IF(A36&gt;200,"",IF($C$1='Adj-Mixed'!$A$21,VLOOKUP(A36,'800'!$A$7:$AB$188,9,FALSE),IF($C$1='Adj-Mixed'!$A$20,VLOOKUP(A36,'800'!$A$7:$AB$188,18,FALSE),IF($C$1='Adj-Mixed'!$A$19,VLOOKUP(A36,'800'!$A$7:$AB$188,27,FALSE)))))</f>
        <v>1.4795430137139873</v>
      </c>
      <c r="F36" s="26">
        <f t="shared" si="1"/>
        <v>0.89384518009497727</v>
      </c>
      <c r="G36" s="27">
        <f t="shared" si="9"/>
        <v>16.524418823268036</v>
      </c>
      <c r="I36" s="127">
        <f t="shared" si="7"/>
        <v>31.842858136867218</v>
      </c>
      <c r="J36" s="25">
        <f>IF(A36&gt;200,"",C36*'Adj-Gilts'!$C$6)</f>
        <v>949.51168326279094</v>
      </c>
      <c r="K36" s="26">
        <f>IF(A36&gt;200,"",D36*'Adj-Gilts'!$C$7)</f>
        <v>0.4237133355018714</v>
      </c>
      <c r="L36" s="1">
        <f t="shared" si="2"/>
        <v>2.3600862097378648</v>
      </c>
      <c r="M36" s="26">
        <f t="shared" si="3"/>
        <v>2.2409294296535003</v>
      </c>
      <c r="N36" s="30">
        <f t="shared" si="10"/>
        <v>41.427819127521509</v>
      </c>
    </row>
    <row r="37" spans="1:14" ht="15" customHeight="1" x14ac:dyDescent="0.25">
      <c r="A37" s="114">
        <f t="shared" si="4"/>
        <v>55</v>
      </c>
      <c r="B37" s="127">
        <f>IF(A37&gt;200,"",IF($C$1='Adj-Mixed'!$A$21,VLOOKUP(A37,'800'!$A$6:$AB$188,3,FALSE),IF($C$1='Adj-Mixed'!$A$20,VLOOKUP(A37,'800'!$A$6:$AB$188,12,FALSE),IF($C$1='Adj-Mixed'!$A$19,VLOOKUP(A37,'800'!$A$6:$AB$188,21,FALSE)))))</f>
        <v>19.342458450170579</v>
      </c>
      <c r="C37" s="126">
        <f t="shared" si="8"/>
        <v>617.66360592914543</v>
      </c>
      <c r="D37" s="26">
        <f t="shared" si="6"/>
        <v>0.67089896620499545</v>
      </c>
      <c r="E37" s="26">
        <f>IF(A37&gt;200,"",IF($C$1='Adj-Mixed'!$A$21,VLOOKUP(A37,'800'!$A$7:$AB$188,9,FALSE),IF($C$1='Adj-Mixed'!$A$20,VLOOKUP(A37,'800'!$A$7:$AB$188,18,FALSE),IF($C$1='Adj-Mixed'!$A$19,VLOOKUP(A37,'800'!$A$7:$AB$188,27,FALSE)))))</f>
        <v>1.4905373988822732</v>
      </c>
      <c r="F37" s="26">
        <f t="shared" si="1"/>
        <v>0.92065070456587383</v>
      </c>
      <c r="G37" s="27">
        <f t="shared" si="9"/>
        <v>17.445069527833908</v>
      </c>
      <c r="I37" s="127">
        <f t="shared" si="7"/>
        <v>32.813630979391604</v>
      </c>
      <c r="J37" s="25">
        <f>IF(A37&gt;200,"",C37*'Adj-Gilts'!$C$6)</f>
        <v>970.77284252438824</v>
      </c>
      <c r="K37" s="26">
        <f>IF(A37&gt;200,"",D37*'Adj-Gilts'!$C$7)</f>
        <v>0.42058797439725237</v>
      </c>
      <c r="L37" s="1">
        <f t="shared" si="2"/>
        <v>2.3776238524962752</v>
      </c>
      <c r="M37" s="26">
        <f t="shared" si="3"/>
        <v>2.3081326657415961</v>
      </c>
      <c r="N37" s="30">
        <f t="shared" si="10"/>
        <v>43.735951793263105</v>
      </c>
    </row>
    <row r="38" spans="1:14" ht="15" customHeight="1" x14ac:dyDescent="0.25">
      <c r="A38" s="114">
        <f t="shared" si="4"/>
        <v>56</v>
      </c>
      <c r="B38" s="127">
        <f>IF(A38&gt;200,"",IF($C$1='Adj-Mixed'!$A$21,VLOOKUP(A38,'800'!$A$6:$AB$188,3,FALSE),IF($C$1='Adj-Mixed'!$A$20,VLOOKUP(A38,'800'!$A$6:$AB$188,12,FALSE),IF($C$1='Adj-Mixed'!$A$19,VLOOKUP(A38,'800'!$A$6:$AB$188,21,FALSE)))))</f>
        <v>19.973952580280983</v>
      </c>
      <c r="C38" s="126">
        <f t="shared" si="8"/>
        <v>631.49413011040429</v>
      </c>
      <c r="D38" s="26">
        <f t="shared" si="6"/>
        <v>0.66651536055909522</v>
      </c>
      <c r="E38" s="26">
        <f>IF(A38&gt;200,"",IF($C$1='Adj-Mixed'!$A$21,VLOOKUP(A38,'800'!$A$7:$AB$188,9,FALSE),IF($C$1='Adj-Mixed'!$A$20,VLOOKUP(A38,'800'!$A$7:$AB$188,18,FALSE),IF($C$1='Adj-Mixed'!$A$19,VLOOKUP(A38,'800'!$A$7:$AB$188,27,FALSE)))))</f>
        <v>1.5003405160252674</v>
      </c>
      <c r="F38" s="26">
        <f t="shared" si="1"/>
        <v>0.94745622903677129</v>
      </c>
      <c r="G38" s="27">
        <f t="shared" si="9"/>
        <v>18.392525756870679</v>
      </c>
      <c r="I38" s="127">
        <f t="shared" si="7"/>
        <v>33.80614105419609</v>
      </c>
      <c r="J38" s="25">
        <f>IF(A38&gt;200,"",C38*'Adj-Gilts'!$C$6)</f>
        <v>992.51007480448322</v>
      </c>
      <c r="K38" s="26">
        <f>IF(A38&gt;200,"",D38*'Adj-Gilts'!$C$7)</f>
        <v>0.41783988278877282</v>
      </c>
      <c r="L38" s="1">
        <f t="shared" si="2"/>
        <v>2.3932612495622441</v>
      </c>
      <c r="M38" s="26">
        <f t="shared" si="3"/>
        <v>2.3753359018296938</v>
      </c>
      <c r="N38" s="30">
        <f t="shared" si="10"/>
        <v>46.111287695092798</v>
      </c>
    </row>
    <row r="39" spans="1:14" ht="15" customHeight="1" x14ac:dyDescent="0.25">
      <c r="A39" s="114">
        <f t="shared" si="4"/>
        <v>57</v>
      </c>
      <c r="B39" s="127">
        <f>IF(A39&gt;200,"",IF($C$1='Adj-Mixed'!$A$21,VLOOKUP(A39,'800'!$A$6:$AB$188,3,FALSE),IF($C$1='Adj-Mixed'!$A$20,VLOOKUP(A39,'800'!$A$6:$AB$188,12,FALSE),IF($C$1='Adj-Mixed'!$A$19,VLOOKUP(A39,'800'!$A$6:$AB$188,21,FALSE)))))</f>
        <v>20.61958692320783</v>
      </c>
      <c r="C39" s="126">
        <f t="shared" si="8"/>
        <v>645.63434292684724</v>
      </c>
      <c r="D39" s="26">
        <f t="shared" si="6"/>
        <v>0.6590641871915226</v>
      </c>
      <c r="E39" s="26">
        <f>IF(A39&gt;200,"",IF($C$1='Adj-Mixed'!$A$21,VLOOKUP(A39,'800'!$A$7:$AB$188,9,FALSE),IF($C$1='Adj-Mixed'!$A$20,VLOOKUP(A39,'800'!$A$7:$AB$188,18,FALSE),IF($C$1='Adj-Mixed'!$A$19,VLOOKUP(A39,'800'!$A$7:$AB$188,27,FALSE)))))</f>
        <v>1.5173028961887778</v>
      </c>
      <c r="F39" s="26">
        <f t="shared" si="1"/>
        <v>0.97962285840184382</v>
      </c>
      <c r="G39" s="27">
        <f t="shared" si="9"/>
        <v>19.372148615272522</v>
      </c>
      <c r="I39" s="127">
        <f t="shared" si="7"/>
        <v>34.820875094372582</v>
      </c>
      <c r="J39" s="25">
        <f>IF(A39&gt;200,"",C39*'Adj-Gilts'!$C$6)</f>
        <v>1014.73404017649</v>
      </c>
      <c r="K39" s="26">
        <f>IF(A39&gt;200,"",D39*'Adj-Gilts'!$C$7)</f>
        <v>0.41316872651724484</v>
      </c>
      <c r="L39" s="1">
        <f t="shared" si="2"/>
        <v>2.4203187119929854</v>
      </c>
      <c r="M39" s="26">
        <f t="shared" si="3"/>
        <v>2.4559797851354004</v>
      </c>
      <c r="N39" s="30">
        <f t="shared" si="10"/>
        <v>48.567267480228196</v>
      </c>
    </row>
    <row r="40" spans="1:14" x14ac:dyDescent="0.25">
      <c r="A40" s="114">
        <f t="shared" si="4"/>
        <v>58</v>
      </c>
      <c r="B40" s="127">
        <f>IF(A40&gt;200,"",IF($C$1='Adj-Mixed'!$A$21,VLOOKUP(A40,'800'!$A$6:$AB$188,3,FALSE),IF($C$1='Adj-Mixed'!$A$20,VLOOKUP(A40,'800'!$A$6:$AB$188,12,FALSE),IF($C$1='Adj-Mixed'!$A$19,VLOOKUP(A40,'800'!$A$6:$AB$188,21,FALSE)))))</f>
        <v>21.279678102034328</v>
      </c>
      <c r="C40" s="126">
        <f t="shared" si="8"/>
        <v>660.09117882649798</v>
      </c>
      <c r="D40" s="26">
        <f t="shared" si="6"/>
        <v>0.65239972030482252</v>
      </c>
      <c r="E40" s="26">
        <f>IF(A40&gt;200,"",IF($C$1='Adj-Mixed'!$A$21,VLOOKUP(A40,'800'!$A$7:$AB$188,9,FALSE),IF($C$1='Adj-Mixed'!$A$20,VLOOKUP(A40,'800'!$A$7:$AB$188,18,FALSE),IF($C$1='Adj-Mixed'!$A$19,VLOOKUP(A40,'800'!$A$7:$AB$188,27,FALSE)))))</f>
        <v>1.5328026191255373</v>
      </c>
      <c r="F40" s="26">
        <f t="shared" si="1"/>
        <v>1.0117894877669196</v>
      </c>
      <c r="G40" s="27">
        <f t="shared" si="9"/>
        <v>20.383938103039441</v>
      </c>
      <c r="H40" s="1"/>
      <c r="I40" s="127">
        <f t="shared" si="7"/>
        <v>35.858330731783383</v>
      </c>
      <c r="J40" s="25">
        <f>IF(A40&gt;200,"",C40*'Adj-Gilts'!$C$6)</f>
        <v>1037.4556374107983</v>
      </c>
      <c r="K40" s="26">
        <f>IF(A40&gt;200,"",D40*'Adj-Gilts'!$C$7)</f>
        <v>0.40899075819487557</v>
      </c>
      <c r="L40" s="1">
        <f t="shared" si="2"/>
        <v>2.4450430234991298</v>
      </c>
      <c r="M40" s="26">
        <f t="shared" si="3"/>
        <v>2.5366236684411154</v>
      </c>
      <c r="N40" s="30">
        <f t="shared" si="10"/>
        <v>51.103891148669312</v>
      </c>
    </row>
    <row r="41" spans="1:14" x14ac:dyDescent="0.25">
      <c r="A41" s="114">
        <f t="shared" si="4"/>
        <v>59</v>
      </c>
      <c r="B41" s="127">
        <f>IF(A41&gt;200,"",IF($C$1='Adj-Mixed'!$A$21,VLOOKUP(A41,'800'!$A$6:$AB$188,3,FALSE),IF($C$1='Adj-Mixed'!$A$20,VLOOKUP(A41,'800'!$A$6:$AB$188,12,FALSE),IF($C$1='Adj-Mixed'!$A$19,VLOOKUP(A41,'800'!$A$6:$AB$188,21,FALSE)))))</f>
        <v>21.954549829565579</v>
      </c>
      <c r="C41" s="126">
        <f t="shared" si="8"/>
        <v>674.87172753125083</v>
      </c>
      <c r="D41" s="26">
        <f t="shared" si="6"/>
        <v>0.64645603053248279</v>
      </c>
      <c r="E41" s="26">
        <f>IF(A41&gt;200,"",IF($C$1='Adj-Mixed'!$A$21,VLOOKUP(A41,'800'!$A$7:$AB$188,9,FALSE),IF($C$1='Adj-Mixed'!$A$20,VLOOKUP(A41,'800'!$A$7:$AB$188,18,FALSE),IF($C$1='Adj-Mixed'!$A$19,VLOOKUP(A41,'800'!$A$7:$AB$188,27,FALSE)))))</f>
        <v>1.5468956166690946</v>
      </c>
      <c r="F41" s="26">
        <f t="shared" si="1"/>
        <v>1.0439561171319915</v>
      </c>
      <c r="G41" s="27">
        <f t="shared" si="9"/>
        <v>21.427894220171432</v>
      </c>
      <c r="H41" s="1"/>
      <c r="I41" s="127">
        <f t="shared" si="7"/>
        <v>36.919016741102851</v>
      </c>
      <c r="J41" s="25">
        <f>IF(A41&gt;200,"",C41*'Adj-Gilts'!$C$6)</f>
        <v>1060.6860093194664</v>
      </c>
      <c r="K41" s="26">
        <f>IF(A41&gt;200,"",D41*'Adj-Gilts'!$C$7)</f>
        <v>0.4052646465629936</v>
      </c>
      <c r="L41" s="1">
        <f>IF(A41&gt;200,"",1/K41)</f>
        <v>2.4675234034868172</v>
      </c>
      <c r="M41" s="136">
        <f>IF(A41&gt;200,"",(J41/1000)/K41)</f>
        <v>2.6172675517468194</v>
      </c>
      <c r="N41" s="30">
        <f t="shared" si="10"/>
        <v>53.721158700416133</v>
      </c>
    </row>
    <row r="42" spans="1:14" x14ac:dyDescent="0.25">
      <c r="A42" s="114">
        <f t="shared" si="4"/>
        <v>60</v>
      </c>
      <c r="B42" s="127">
        <f>IF(A42&gt;200,"",IF($C$1='Adj-Mixed'!$A$21,VLOOKUP(A42,'800'!$A$6:$AB$188,3,FALSE),IF($C$1='Adj-Mixed'!$A$20,VLOOKUP(A42,'800'!$A$6:$AB$188,12,FALSE),IF($C$1='Adj-Mixed'!$A$19,VLOOKUP(A42,'800'!$A$6:$AB$188,21,FALSE)))))</f>
        <v>22.64414656550484</v>
      </c>
      <c r="C42" s="137">
        <f t="shared" si="8"/>
        <v>689.59673593926141</v>
      </c>
      <c r="D42" s="26">
        <f t="shared" si="6"/>
        <v>0.64467005342256645</v>
      </c>
      <c r="E42" s="26">
        <f>IF(A42&gt;200,"",IF($C$1='Adj-Mixed'!$A$21,VLOOKUP(A42,'800'!$A$7:$AB$188,9,FALSE),IF($C$1='Adj-Mixed'!$A$20,VLOOKUP(A42,'800'!$A$7:$AB$188,18,FALSE),IF($C$1='Adj-Mixed'!$A$19,VLOOKUP(A42,'800'!$A$7:$AB$188,27,FALSE)))))</f>
        <v>1.5511810959590564</v>
      </c>
      <c r="F42" s="26">
        <f t="shared" si="1"/>
        <v>1.0696894206240515</v>
      </c>
      <c r="G42" s="27">
        <f t="shared" si="9"/>
        <v>22.497583640795483</v>
      </c>
      <c r="H42" s="1"/>
      <c r="I42" s="127">
        <f t="shared" si="7"/>
        <v>38.002845830460096</v>
      </c>
      <c r="J42" s="25">
        <f>IF(A42&gt;200,"",C42*'Adj-Gilts'!$C$6)</f>
        <v>1083.829089357243</v>
      </c>
      <c r="K42" s="26">
        <f>IF(A42&gt;200,"",D42*'Adj-Gilts'!$C$7)</f>
        <v>0.4041450137526636</v>
      </c>
      <c r="L42" s="1">
        <f t="shared" si="2"/>
        <v>2.4743593659972731</v>
      </c>
      <c r="M42" s="136">
        <f t="shared" si="3"/>
        <v>2.68178265839139</v>
      </c>
      <c r="N42" s="30">
        <f t="shared" si="10"/>
        <v>56.402941358807524</v>
      </c>
    </row>
    <row r="43" spans="1:14" x14ac:dyDescent="0.25">
      <c r="A43" s="114">
        <f t="shared" si="4"/>
        <v>61</v>
      </c>
      <c r="B43" s="127">
        <f>IF(A43&gt;200,"",IF($C$1='Adj-Mixed'!$A$21,VLOOKUP(A43,'800'!$A$6:$AB$188,3,FALSE),IF($C$1='Adj-Mixed'!$A$20,VLOOKUP(A43,'800'!$A$6:$AB$188,12,FALSE),IF($C$1='Adj-Mixed'!$A$19,VLOOKUP(A43,'800'!$A$6:$AB$188,21,FALSE)))))</f>
        <v>23.323743345108991</v>
      </c>
      <c r="C43" s="126">
        <f t="shared" si="8"/>
        <v>679.59677960415024</v>
      </c>
      <c r="D43" s="26">
        <f t="shared" si="6"/>
        <v>0.63748444626227441</v>
      </c>
      <c r="E43" s="26">
        <f>IF(A43&gt;200,"",IF($C$1='Adj-Mixed'!$A$21,VLOOKUP(A43,'800'!$A$7:$AB$188,9,FALSE),IF($C$1='Adj-Mixed'!$A$20,VLOOKUP(A43,'800'!$A$7:$AB$188,18,FALSE),IF($C$1='Adj-Mixed'!$A$19,VLOOKUP(A43,'800'!$A$7:$AB$188,27,FALSE)))))</f>
        <v>1.568665723318023</v>
      </c>
      <c r="F43" s="26">
        <f t="shared" si="1"/>
        <v>1.0660601738423434</v>
      </c>
      <c r="G43" s="27">
        <f t="shared" si="9"/>
        <v>23.563643814637828</v>
      </c>
      <c r="H43" s="1"/>
      <c r="I43" s="127">
        <f t="shared" si="7"/>
        <v>39.070958134914733</v>
      </c>
      <c r="J43" s="25">
        <f>IF(A43&gt;200,"",C43*'Adj-Gilts'!$C$6)</f>
        <v>1068.1123044546382</v>
      </c>
      <c r="K43" s="26">
        <f>IF(A43&gt;200,"",D43*'Adj-Gilts'!$C$7)</f>
        <v>0.39964034149559208</v>
      </c>
      <c r="L43" s="1">
        <f t="shared" si="2"/>
        <v>2.5022498886315003</v>
      </c>
      <c r="M43" s="26">
        <f t="shared" si="3"/>
        <v>2.6726838948675531</v>
      </c>
      <c r="N43" s="30">
        <f t="shared" si="10"/>
        <v>59.075625253675078</v>
      </c>
    </row>
    <row r="44" spans="1:14" x14ac:dyDescent="0.25">
      <c r="A44" s="114">
        <f t="shared" si="4"/>
        <v>62</v>
      </c>
      <c r="B44" s="127">
        <f>IF(A44&gt;200,"",IF($C$1='Adj-Mixed'!$A$21,VLOOKUP(A44,'800'!$A$6:$AB$188,3,FALSE),IF($C$1='Adj-Mixed'!$A$20,VLOOKUP(A44,'800'!$A$6:$AB$188,12,FALSE),IF($C$1='Adj-Mixed'!$A$19,VLOOKUP(A44,'800'!$A$6:$AB$188,21,FALSE)))))</f>
        <v>24.011941762012853</v>
      </c>
      <c r="C44" s="126">
        <f t="shared" si="8"/>
        <v>688.19841690386238</v>
      </c>
      <c r="D44" s="26">
        <f t="shared" si="6"/>
        <v>0.62813837608213263</v>
      </c>
      <c r="E44" s="26">
        <f>IF(A44&gt;200,"",IF($C$1='Adj-Mixed'!$A$21,VLOOKUP(A44,'800'!$A$7:$AB$188,9,FALSE),IF($C$1='Adj-Mixed'!$A$20,VLOOKUP(A44,'800'!$A$7:$AB$188,18,FALSE),IF($C$1='Adj-Mixed'!$A$19,VLOOKUP(A44,'800'!$A$7:$AB$188,27,FALSE)))))</f>
        <v>1.5920058988232306</v>
      </c>
      <c r="F44" s="26">
        <f t="shared" si="1"/>
        <v>1.0956159392717577</v>
      </c>
      <c r="G44" s="27">
        <f t="shared" si="9"/>
        <v>24.659259753909588</v>
      </c>
      <c r="H44" s="1"/>
      <c r="I44" s="127">
        <f t="shared" si="7"/>
        <v>40.152589506725207</v>
      </c>
      <c r="J44" s="25">
        <f>IF(A44&gt;200,"",C44*'Adj-Gilts'!$C$6)</f>
        <v>1081.6313718104755</v>
      </c>
      <c r="K44" s="26">
        <f>IF(A44&gt;200,"",D44*'Adj-Gilts'!$C$7)</f>
        <v>0.39378127042282596</v>
      </c>
      <c r="L44" s="1">
        <f t="shared" si="2"/>
        <v>2.539480861865882</v>
      </c>
      <c r="M44" s="26">
        <f t="shared" si="3"/>
        <v>2.7467821683064426</v>
      </c>
      <c r="N44" s="30">
        <f t="shared" si="10"/>
        <v>61.822407421981524</v>
      </c>
    </row>
    <row r="45" spans="1:14" x14ac:dyDescent="0.25">
      <c r="A45" s="114">
        <f t="shared" si="4"/>
        <v>63</v>
      </c>
      <c r="B45" s="127">
        <f>IF(A45&gt;200,"",IF($C$1='Adj-Mixed'!$A$21,VLOOKUP(A45,'800'!$A$6:$AB$188,3,FALSE),IF($C$1='Adj-Mixed'!$A$20,VLOOKUP(A45,'800'!$A$6:$AB$188,12,FALSE),IF($C$1='Adj-Mixed'!$A$19,VLOOKUP(A45,'800'!$A$6:$AB$188,21,FALSE)))))</f>
        <v>24.708601435280787</v>
      </c>
      <c r="C45" s="126">
        <f t="shared" si="8"/>
        <v>696.65967326793418</v>
      </c>
      <c r="D45" s="26">
        <f t="shared" si="6"/>
        <v>0.61908423484130748</v>
      </c>
      <c r="E45" s="26">
        <f>IF(A45&gt;200,"",IF($C$1='Adj-Mixed'!$A$21,VLOOKUP(A45,'800'!$A$7:$AB$188,9,FALSE),IF($C$1='Adj-Mixed'!$A$20,VLOOKUP(A45,'800'!$A$7:$AB$188,18,FALSE),IF($C$1='Adj-Mixed'!$A$19,VLOOKUP(A45,'800'!$A$7:$AB$188,27,FALSE)))))</f>
        <v>1.6152890733138026</v>
      </c>
      <c r="F45" s="26">
        <f t="shared" si="1"/>
        <v>1.1253067580480578</v>
      </c>
      <c r="G45" s="27">
        <f t="shared" si="9"/>
        <v>25.784566511957646</v>
      </c>
      <c r="H45" s="1"/>
      <c r="I45" s="127">
        <f t="shared" si="7"/>
        <v>41.24751931123113</v>
      </c>
      <c r="J45" s="25">
        <f>IF(A45&gt;200,"",C45*'Adj-Gilts'!$C$6)</f>
        <v>1094.9298045059252</v>
      </c>
      <c r="K45" s="26">
        <f>IF(A45&gt;200,"",D45*'Adj-Gilts'!$C$7)</f>
        <v>0.38810521021673267</v>
      </c>
      <c r="L45" s="1">
        <f t="shared" si="2"/>
        <v>2.5766209101948467</v>
      </c>
      <c r="M45" s="26">
        <f t="shared" si="3"/>
        <v>2.8212190294855226</v>
      </c>
      <c r="N45" s="30">
        <f t="shared" si="10"/>
        <v>64.643626451467043</v>
      </c>
    </row>
    <row r="46" spans="1:14" x14ac:dyDescent="0.25">
      <c r="A46" s="114">
        <f t="shared" si="4"/>
        <v>64</v>
      </c>
      <c r="B46" s="127">
        <f>IF(A46&gt;200,"",IF($C$1='Adj-Mixed'!$A$21,VLOOKUP(A46,'800'!$A$6:$AB$188,3,FALSE),IF($C$1='Adj-Mixed'!$A$20,VLOOKUP(A46,'800'!$A$6:$AB$188,12,FALSE),IF($C$1='Adj-Mixed'!$A$19,VLOOKUP(A46,'800'!$A$6:$AB$188,21,FALSE)))))</f>
        <v>25.413580853764568</v>
      </c>
      <c r="C46" s="126">
        <f t="shared" si="8"/>
        <v>704.97941848378082</v>
      </c>
      <c r="D46" s="26">
        <f t="shared" si="6"/>
        <v>0.61031137034781602</v>
      </c>
      <c r="E46" s="26">
        <f>IF(A46&gt;200,"",IF($C$1='Adj-Mixed'!$A$21,VLOOKUP(A46,'800'!$A$7:$AB$188,9,FALSE),IF($C$1='Adj-Mixed'!$A$20,VLOOKUP(A46,'800'!$A$7:$AB$188,18,FALSE),IF($C$1='Adj-Mixed'!$A$19,VLOOKUP(A46,'800'!$A$7:$AB$188,27,FALSE)))))</f>
        <v>1.6385078970921034</v>
      </c>
      <c r="F46" s="26">
        <f t="shared" si="1"/>
        <v>1.1551143444730738</v>
      </c>
      <c r="G46" s="27">
        <f t="shared" si="9"/>
        <v>26.939680856430719</v>
      </c>
      <c r="H46" s="1"/>
      <c r="I46" s="127">
        <f t="shared" si="7"/>
        <v>42.355525137433553</v>
      </c>
      <c r="J46" s="25">
        <f>IF(A46&gt;200,"",C46*'Adj-Gilts'!$C$6)</f>
        <v>1108.0058262024222</v>
      </c>
      <c r="K46" s="26">
        <f>IF(A46&gt;200,"",D46*'Adj-Gilts'!$C$7)</f>
        <v>0.38260548299573149</v>
      </c>
      <c r="L46" s="1">
        <f t="shared" si="2"/>
        <v>2.6136583097821324</v>
      </c>
      <c r="M46" s="26">
        <f t="shared" si="3"/>
        <v>2.8959486349409778</v>
      </c>
      <c r="N46" s="30">
        <f t="shared" si="10"/>
        <v>67.539575086408021</v>
      </c>
    </row>
    <row r="47" spans="1:14" x14ac:dyDescent="0.25">
      <c r="A47" s="114">
        <f t="shared" si="4"/>
        <v>65</v>
      </c>
      <c r="B47" s="127">
        <f>IF(A47&gt;200,"",IF($C$1='Adj-Mixed'!$A$21,VLOOKUP(A47,'800'!$A$6:$AB$188,3,FALSE),IF($C$1='Adj-Mixed'!$A$20,VLOOKUP(A47,'800'!$A$6:$AB$188,12,FALSE),IF($C$1='Adj-Mixed'!$A$19,VLOOKUP(A47,'800'!$A$6:$AB$188,21,FALSE)))))</f>
        <v>26.126737456166719</v>
      </c>
      <c r="C47" s="126">
        <f t="shared" si="8"/>
        <v>713.15660240215095</v>
      </c>
      <c r="D47" s="26">
        <f t="shared" si="6"/>
        <v>0.60180948808687984</v>
      </c>
      <c r="E47" s="26">
        <f>IF(A47&gt;200,"",IF($C$1='Adj-Mixed'!$A$21,VLOOKUP(A47,'800'!$A$7:$AB$188,9,FALSE),IF($C$1='Adj-Mixed'!$A$20,VLOOKUP(A47,'800'!$A$7:$AB$188,18,FALSE),IF($C$1='Adj-Mixed'!$A$19,VLOOKUP(A47,'800'!$A$7:$AB$188,27,FALSE)))))</f>
        <v>1.6616554238434267</v>
      </c>
      <c r="F47" s="26">
        <f t="shared" si="1"/>
        <v>1.1850205364312842</v>
      </c>
      <c r="G47" s="27">
        <f t="shared" si="9"/>
        <v>28.124701392862004</v>
      </c>
      <c r="H47" s="1"/>
      <c r="I47" s="127">
        <f t="shared" si="7"/>
        <v>43.47638292382932</v>
      </c>
      <c r="J47" s="25">
        <f>IF(A47&gt;200,"",C47*'Adj-Gilts'!$C$6)</f>
        <v>1120.8577863957698</v>
      </c>
      <c r="K47" s="26">
        <f>IF(A47&gt;200,"",D47*'Adj-Gilts'!$C$7)</f>
        <v>0.37727563510683421</v>
      </c>
      <c r="L47" s="1">
        <f t="shared" si="2"/>
        <v>2.6505819802458941</v>
      </c>
      <c r="M47" s="26">
        <f t="shared" si="3"/>
        <v>2.9709254510389291</v>
      </c>
      <c r="N47" s="30">
        <f t="shared" si="10"/>
        <v>70.510500537446944</v>
      </c>
    </row>
    <row r="48" spans="1:14" x14ac:dyDescent="0.25">
      <c r="A48" s="114">
        <f t="shared" si="4"/>
        <v>66</v>
      </c>
      <c r="B48" s="127">
        <f>IF(A48&gt;200,"",IF($C$1='Adj-Mixed'!$A$21,VLOOKUP(A48,'800'!$A$6:$AB$188,3,FALSE),IF($C$1='Adj-Mixed'!$A$20,VLOOKUP(A48,'800'!$A$6:$AB$188,12,FALSE),IF($C$1='Adj-Mixed'!$A$19,VLOOKUP(A48,'800'!$A$6:$AB$188,21,FALSE)))))</f>
        <v>26.847927710419693</v>
      </c>
      <c r="C48" s="126">
        <f t="shared" si="8"/>
        <v>721.19025425297423</v>
      </c>
      <c r="D48" s="26">
        <f t="shared" si="6"/>
        <v>0.59356864680417831</v>
      </c>
      <c r="E48" s="26">
        <f>IF(A48&gt;200,"",IF($C$1='Adj-Mixed'!$A$21,VLOOKUP(A48,'800'!$A$7:$AB$188,9,FALSE),IF($C$1='Adj-Mixed'!$A$20,VLOOKUP(A48,'800'!$A$7:$AB$188,18,FALSE),IF($C$1='Adj-Mixed'!$A$19,VLOOKUP(A48,'800'!$A$7:$AB$188,27,FALSE)))))</f>
        <v>1.6847251036322102</v>
      </c>
      <c r="F48" s="26">
        <f t="shared" si="1"/>
        <v>1.2150073258348821</v>
      </c>
      <c r="G48" s="27">
        <f t="shared" si="9"/>
        <v>29.339708718696887</v>
      </c>
      <c r="H48" s="1"/>
      <c r="I48" s="127">
        <f t="shared" si="7"/>
        <v>44.609867083170187</v>
      </c>
      <c r="J48" s="25">
        <f>IF(A48&gt;200,"",C48*'Adj-Gilts'!$C$6)</f>
        <v>1133.4841593408671</v>
      </c>
      <c r="K48" s="26">
        <f>IF(A48&gt;200,"",D48*'Adj-Gilts'!$C$7)</f>
        <v>0.37210943435677724</v>
      </c>
      <c r="L48" s="1">
        <f t="shared" si="2"/>
        <v>2.6873814734866501</v>
      </c>
      <c r="M48" s="26">
        <f t="shared" si="3"/>
        <v>3.0461043303032365</v>
      </c>
      <c r="N48" s="30">
        <f t="shared" si="10"/>
        <v>73.556604867750181</v>
      </c>
    </row>
    <row r="49" spans="1:14" x14ac:dyDescent="0.25">
      <c r="A49" s="114">
        <f t="shared" si="4"/>
        <v>67</v>
      </c>
      <c r="B49" s="127">
        <f>IF(A49&gt;200,"",IF($C$1='Adj-Mixed'!$A$21,VLOOKUP(A49,'800'!$A$6:$AB$188,3,FALSE),IF($C$1='Adj-Mixed'!$A$20,VLOOKUP(A49,'800'!$A$6:$AB$188,12,FALSE),IF($C$1='Adj-Mixed'!$A$19,VLOOKUP(A49,'800'!$A$6:$AB$188,21,FALSE)))))</f>
        <v>27.577007192337206</v>
      </c>
      <c r="C49" s="126">
        <f t="shared" si="8"/>
        <v>729.07948191751257</v>
      </c>
      <c r="D49" s="26">
        <f t="shared" si="6"/>
        <v>0.58557925250540643</v>
      </c>
      <c r="E49" s="26">
        <f>IF(A49&gt;200,"",IF($C$1='Adj-Mixed'!$A$21,VLOOKUP(A49,'800'!$A$7:$AB$188,9,FALSE),IF($C$1='Adj-Mixed'!$A$20,VLOOKUP(A49,'800'!$A$7:$AB$188,18,FALSE),IF($C$1='Adj-Mixed'!$A$19,VLOOKUP(A49,'800'!$A$7:$AB$188,27,FALSE)))))</f>
        <v>1.707710776502908</v>
      </c>
      <c r="F49" s="26">
        <f t="shared" si="1"/>
        <v>1.2450568881976933</v>
      </c>
      <c r="G49" s="27">
        <f t="shared" si="9"/>
        <v>30.584765606894582</v>
      </c>
      <c r="H49" s="1"/>
      <c r="I49" s="127">
        <f t="shared" si="7"/>
        <v>45.755750626077948</v>
      </c>
      <c r="J49" s="25">
        <f>IF(A49&gt;200,"",C49*'Adj-Gilts'!$C$6)</f>
        <v>1145.8835429077606</v>
      </c>
      <c r="K49" s="26">
        <f>IF(A49&gt;200,"",D49*'Adj-Gilts'!$C$7)</f>
        <v>0.367100866250332</v>
      </c>
      <c r="L49" s="1">
        <f t="shared" si="2"/>
        <v>2.7240469634797426</v>
      </c>
      <c r="M49" s="26">
        <f t="shared" si="3"/>
        <v>3.1214405855592942</v>
      </c>
      <c r="N49" s="30">
        <f t="shared" si="10"/>
        <v>76.67804545330948</v>
      </c>
    </row>
    <row r="50" spans="1:14" x14ac:dyDescent="0.25">
      <c r="A50" s="114">
        <f t="shared" si="4"/>
        <v>68</v>
      </c>
      <c r="B50" s="127">
        <f>IF(A50&gt;200,"",IF($C$1='Adj-Mixed'!$A$21,VLOOKUP(A50,'800'!$A$6:$AB$188,3,FALSE),IF($C$1='Adj-Mixed'!$A$20,VLOOKUP(A50,'800'!$A$6:$AB$188,12,FALSE),IF($C$1='Adj-Mixed'!$A$19,VLOOKUP(A50,'800'!$A$6:$AB$188,21,FALSE)))))</f>
        <v>28.313830663494588</v>
      </c>
      <c r="C50" s="126">
        <f t="shared" si="8"/>
        <v>736.82347115738264</v>
      </c>
      <c r="D50" s="26">
        <f t="shared" si="6"/>
        <v>0.57783205122835768</v>
      </c>
      <c r="E50" s="26">
        <f>IF(A50&gt;200,"",IF($C$1='Adj-Mixed'!$A$21,VLOOKUP(A50,'800'!$A$7:$AB$188,9,FALSE),IF($C$1='Adj-Mixed'!$A$20,VLOOKUP(A50,'800'!$A$7:$AB$188,18,FALSE),IF($C$1='Adj-Mixed'!$A$19,VLOOKUP(A50,'800'!$A$7:$AB$188,27,FALSE)))))</f>
        <v>1.7306066665464401</v>
      </c>
      <c r="F50" s="26">
        <f t="shared" si="1"/>
        <v>1.2751516112528549</v>
      </c>
      <c r="G50" s="27">
        <f t="shared" si="9"/>
        <v>31.859917218147437</v>
      </c>
      <c r="H50" s="1"/>
      <c r="I50" s="127">
        <f t="shared" si="7"/>
        <v>46.913805283447857</v>
      </c>
      <c r="J50" s="25">
        <f>IF(A50&gt;200,"",C50*'Adj-Gilts'!$C$6)</f>
        <v>1158.0546573699089</v>
      </c>
      <c r="K50" s="26">
        <f>IF(A50&gt;200,"",D50*'Adj-Gilts'!$C$7)</f>
        <v>0.36224412945910833</v>
      </c>
      <c r="L50" s="1">
        <f t="shared" si="2"/>
        <v>2.7605692368104595</v>
      </c>
      <c r="M50" s="26">
        <f t="shared" si="3"/>
        <v>3.1968900616804476</v>
      </c>
      <c r="N50" s="30">
        <f t="shared" si="10"/>
        <v>79.874935514989929</v>
      </c>
    </row>
    <row r="51" spans="1:14" x14ac:dyDescent="0.25">
      <c r="A51" s="114">
        <f t="shared" si="4"/>
        <v>69</v>
      </c>
      <c r="B51" s="127">
        <f>IF(A51&gt;200,"",IF($C$1='Adj-Mixed'!$A$21,VLOOKUP(A51,'800'!$A$6:$AB$188,3,FALSE),IF($C$1='Adj-Mixed'!$A$20,VLOOKUP(A51,'800'!$A$6:$AB$188,12,FALSE),IF($C$1='Adj-Mixed'!$A$19,VLOOKUP(A51,'800'!$A$6:$AB$188,21,FALSE)))))</f>
        <v>29.058252148295395</v>
      </c>
      <c r="C51" s="126">
        <f t="shared" si="8"/>
        <v>744.42148480080664</v>
      </c>
      <c r="D51" s="26">
        <f t="shared" si="6"/>
        <v>0.57031812088296208</v>
      </c>
      <c r="E51" s="26">
        <f>IF(A51&gt;200,"",IF($C$1='Adj-Mixed'!$A$21,VLOOKUP(A51,'800'!$A$7:$AB$188,9,FALSE),IF($C$1='Adj-Mixed'!$A$20,VLOOKUP(A51,'800'!$A$7:$AB$188,18,FALSE),IF($C$1='Adj-Mixed'!$A$19,VLOOKUP(A51,'800'!$A$7:$AB$188,27,FALSE)))))</f>
        <v>1.753407376310975</v>
      </c>
      <c r="F51" s="26">
        <f t="shared" si="1"/>
        <v>1.3052741225341027</v>
      </c>
      <c r="G51" s="27">
        <f t="shared" si="9"/>
        <v>33.165191340681538</v>
      </c>
      <c r="H51" s="1"/>
      <c r="I51" s="127">
        <f t="shared" si="7"/>
        <v>48.083801627573081</v>
      </c>
      <c r="J51" s="25">
        <f>IF(A51&gt;200,"",C51*'Adj-Gilts'!$C$6)</f>
        <v>1169.9963441252264</v>
      </c>
      <c r="K51" s="26">
        <f>IF(A51&gt;200,"",D51*'Adj-Gilts'!$C$7)</f>
        <v>0.35753363070605709</v>
      </c>
      <c r="L51" s="1">
        <f t="shared" si="2"/>
        <v>2.7969396837584228</v>
      </c>
      <c r="M51" s="26">
        <f t="shared" si="3"/>
        <v>3.2724092047361211</v>
      </c>
      <c r="N51" s="30">
        <f t="shared" si="10"/>
        <v>83.14734471972605</v>
      </c>
    </row>
    <row r="52" spans="1:14" x14ac:dyDescent="0.25">
      <c r="A52" s="114">
        <f t="shared" si="4"/>
        <v>70</v>
      </c>
      <c r="B52" s="127">
        <f>IF(A52&gt;200,"",IF($C$1='Adj-Mixed'!$A$21,VLOOKUP(A52,'800'!$A$6:$AB$188,3,FALSE),IF($C$1='Adj-Mixed'!$A$20,VLOOKUP(A52,'800'!$A$6:$AB$188,12,FALSE),IF($C$1='Adj-Mixed'!$A$19,VLOOKUP(A52,'800'!$A$6:$AB$188,21,FALSE)))))</f>
        <v>29.810125010182226</v>
      </c>
      <c r="C52" s="126">
        <f t="shared" si="8"/>
        <v>751.87286188683083</v>
      </c>
      <c r="D52" s="26">
        <f t="shared" si="6"/>
        <v>0.56302886240361127</v>
      </c>
      <c r="E52" s="26">
        <f>IF(A52&gt;200,"",IF($C$1='Adj-Mixed'!$A$21,VLOOKUP(A52,'800'!$A$7:$AB$188,9,FALSE),IF($C$1='Adj-Mixed'!$A$20,VLOOKUP(A52,'800'!$A$7:$AB$188,18,FALSE),IF($C$1='Adj-Mixed'!$A$19,VLOOKUP(A52,'800'!$A$7:$AB$188,27,FALSE)))))</f>
        <v>1.7761078814519866</v>
      </c>
      <c r="F52" s="26">
        <f t="shared" si="1"/>
        <v>1.3354073158470612</v>
      </c>
      <c r="G52" s="27">
        <f t="shared" si="9"/>
        <v>34.500598656528602</v>
      </c>
      <c r="H52" s="1"/>
      <c r="I52" s="127">
        <f t="shared" si="7"/>
        <v>49.265509191924146</v>
      </c>
      <c r="J52" s="25">
        <f>IF(A52&gt;200,"",C52*'Adj-Gilts'!$C$6)</f>
        <v>1181.7075643510634</v>
      </c>
      <c r="K52" s="26">
        <f>IF(A52&gt;200,"",D52*'Adj-Gilts'!$C$7)</f>
        <v>0.35296397921884437</v>
      </c>
      <c r="L52" s="1">
        <f t="shared" si="2"/>
        <v>2.8331502897636502</v>
      </c>
      <c r="M52" s="26">
        <f t="shared" si="3"/>
        <v>3.3479551283571132</v>
      </c>
      <c r="N52" s="30">
        <f t="shared" si="10"/>
        <v>86.495299848083164</v>
      </c>
    </row>
    <row r="53" spans="1:14" x14ac:dyDescent="0.25">
      <c r="A53" s="114">
        <f t="shared" si="4"/>
        <v>71</v>
      </c>
      <c r="B53" s="127">
        <f>IF(A53&gt;200,"",IF($C$1='Adj-Mixed'!$A$21,VLOOKUP(A53,'800'!$A$6:$AB$188,3,FALSE),IF($C$1='Adj-Mixed'!$A$20,VLOOKUP(A53,'800'!$A$6:$AB$188,12,FALSE),IF($C$1='Adj-Mixed'!$A$19,VLOOKUP(A53,'800'!$A$6:$AB$188,21,FALSE)))))</f>
        <v>30.569302026950556</v>
      </c>
      <c r="C53" s="126">
        <f t="shared" si="8"/>
        <v>759.17701676833008</v>
      </c>
      <c r="D53" s="26">
        <f t="shared" si="6"/>
        <v>0.55595599041560906</v>
      </c>
      <c r="E53" s="26">
        <f>IF(A53&gt;200,"",IF($C$1='Adj-Mixed'!$A$21,VLOOKUP(A53,'800'!$A$7:$AB$188,9,FALSE),IF($C$1='Adj-Mixed'!$A$20,VLOOKUP(A53,'800'!$A$7:$AB$188,18,FALSE),IF($C$1='Adj-Mixed'!$A$19,VLOOKUP(A53,'800'!$A$7:$AB$188,27,FALSE)))))</f>
        <v>1.798703525529858</v>
      </c>
      <c r="F53" s="26">
        <f t="shared" si="1"/>
        <v>1.3655343765624355</v>
      </c>
      <c r="G53" s="27">
        <f t="shared" si="9"/>
        <v>35.866133033091039</v>
      </c>
      <c r="H53" s="1"/>
      <c r="I53" s="127">
        <f t="shared" si="7"/>
        <v>50.45869658951856</v>
      </c>
      <c r="J53" s="25">
        <f>IF(A53&gt;200,"",C53*'Adj-Gilts'!$C$6)</f>
        <v>1193.1873975944111</v>
      </c>
      <c r="K53" s="26">
        <f>IF(A53&gt;200,"",D53*'Adj-Gilts'!$C$7)</f>
        <v>0.34852998087862935</v>
      </c>
      <c r="L53" s="1">
        <f t="shared" si="2"/>
        <v>2.8691936271279799</v>
      </c>
      <c r="M53" s="26">
        <f t="shared" si="3"/>
        <v>3.4234856771473035</v>
      </c>
      <c r="N53" s="30">
        <f t="shared" si="10"/>
        <v>89.918785525230462</v>
      </c>
    </row>
    <row r="54" spans="1:14" x14ac:dyDescent="0.25">
      <c r="A54" s="114">
        <f t="shared" si="4"/>
        <v>72</v>
      </c>
      <c r="B54" s="127">
        <f>IF(A54&gt;200,"",IF($C$1='Adj-Mixed'!$A$21,VLOOKUP(A54,'800'!$A$6:$AB$188,3,FALSE),IF($C$1='Adj-Mixed'!$A$20,VLOOKUP(A54,'800'!$A$6:$AB$188,12,FALSE),IF($C$1='Adj-Mixed'!$A$19,VLOOKUP(A54,'800'!$A$6:$AB$188,21,FALSE)))))</f>
        <v>31.335635465125414</v>
      </c>
      <c r="C54" s="126">
        <f t="shared" si="8"/>
        <v>766.33343817485763</v>
      </c>
      <c r="D54" s="26">
        <f t="shared" si="6"/>
        <v>0.5490915235813828</v>
      </c>
      <c r="E54" s="26">
        <f>IF(A54&gt;200,"",IF($C$1='Adj-Mixed'!$A$21,VLOOKUP(A54,'800'!$A$7:$AB$188,9,FALSE),IF($C$1='Adj-Mixed'!$A$20,VLOOKUP(A54,'800'!$A$7:$AB$188,18,FALSE),IF($C$1='Adj-Mixed'!$A$19,VLOOKUP(A54,'800'!$A$7:$AB$188,27,FALSE)))))</f>
        <v>1.8211900148769762</v>
      </c>
      <c r="F54" s="26">
        <f t="shared" si="1"/>
        <v>1.3956388056703934</v>
      </c>
      <c r="G54" s="27">
        <f t="shared" si="9"/>
        <v>37.261771838761433</v>
      </c>
      <c r="H54" s="1"/>
      <c r="I54" s="127">
        <f t="shared" si="7"/>
        <v>51.663131629817556</v>
      </c>
      <c r="J54" s="25">
        <f>IF(A54&gt;200,"",C54*'Adj-Gilts'!$C$6)</f>
        <v>1204.4350402989969</v>
      </c>
      <c r="K54" s="26">
        <f>IF(A54&gt;200,"",D54*'Adj-Gilts'!$C$7)</f>
        <v>0.34422663216808419</v>
      </c>
      <c r="L54" s="1">
        <f t="shared" si="2"/>
        <v>2.9050628468273336</v>
      </c>
      <c r="M54" s="26">
        <f t="shared" si="3"/>
        <v>3.4989594869895981</v>
      </c>
      <c r="N54" s="30">
        <f t="shared" si="10"/>
        <v>93.417745012220053</v>
      </c>
    </row>
    <row r="55" spans="1:14" x14ac:dyDescent="0.25">
      <c r="A55" s="114">
        <f t="shared" si="4"/>
        <v>73</v>
      </c>
      <c r="B55" s="127">
        <f>IF(A55&gt;200,"",IF($C$1='Adj-Mixed'!$A$21,VLOOKUP(A55,'800'!$A$6:$AB$188,3,FALSE),IF($C$1='Adj-Mixed'!$A$20,VLOOKUP(A55,'800'!$A$6:$AB$188,12,FALSE),IF($C$1='Adj-Mixed'!$A$19,VLOOKUP(A55,'800'!$A$6:$AB$188,21,FALSE)))))</f>
        <v>32.108977153361458</v>
      </c>
      <c r="C55" s="126">
        <f t="shared" si="8"/>
        <v>773.34168823604443</v>
      </c>
      <c r="D55" s="26">
        <f t="shared" si="6"/>
        <v>0.54242777476224746</v>
      </c>
      <c r="E55" s="26">
        <f>IF(A55&gt;200,"",IF($C$1='Adj-Mixed'!$A$21,VLOOKUP(A55,'800'!$A$7:$AB$188,9,FALSE),IF($C$1='Adj-Mixed'!$A$20,VLOOKUP(A55,'800'!$A$7:$AB$188,18,FALSE),IF($C$1='Adj-Mixed'!$A$19,VLOOKUP(A55,'800'!$A$7:$AB$188,27,FALSE)))))</f>
        <v>1.8435634134670036</v>
      </c>
      <c r="F55" s="26">
        <f t="shared" si="1"/>
        <v>1.4257044425407774</v>
      </c>
      <c r="G55" s="27">
        <f t="shared" si="9"/>
        <v>38.68747628130221</v>
      </c>
      <c r="H55" s="1"/>
      <c r="I55" s="127">
        <f t="shared" si="7"/>
        <v>52.878581434087934</v>
      </c>
      <c r="J55" s="25">
        <f>IF(A55&gt;200,"",C55*'Adj-Gilts'!$C$6)</f>
        <v>1215.4498042703754</v>
      </c>
      <c r="K55" s="26">
        <f>IF(A55&gt;200,"",D55*'Adj-Gilts'!$C$7)</f>
        <v>0.34004911400378307</v>
      </c>
      <c r="L55" s="1">
        <f t="shared" si="2"/>
        <v>2.9407516703274661</v>
      </c>
      <c r="M55" s="26">
        <f t="shared" si="3"/>
        <v>3.5743360421072983</v>
      </c>
      <c r="N55" s="30">
        <f t="shared" si="10"/>
        <v>96.992081054327357</v>
      </c>
    </row>
    <row r="56" spans="1:14" x14ac:dyDescent="0.25">
      <c r="A56" s="114">
        <f t="shared" si="4"/>
        <v>74</v>
      </c>
      <c r="B56" s="127">
        <f>IF(A56&gt;200,"",IF($C$1='Adj-Mixed'!$A$21,VLOOKUP(A56,'800'!$A$6:$AB$188,3,FALSE),IF($C$1='Adj-Mixed'!$A$20,VLOOKUP(A56,'800'!$A$6:$AB$188,12,FALSE),IF($C$1='Adj-Mixed'!$A$19,VLOOKUP(A56,'800'!$A$6:$AB$188,21,FALSE)))))</f>
        <v>32.889178554828867</v>
      </c>
      <c r="C56" s="126">
        <f t="shared" si="8"/>
        <v>780.20140146740857</v>
      </c>
      <c r="D56" s="26">
        <f t="shared" si="6"/>
        <v>0.53595734110643256</v>
      </c>
      <c r="E56" s="26">
        <f>IF(A56&gt;200,"",IF($C$1='Adj-Mixed'!$A$21,VLOOKUP(A56,'800'!$A$7:$AB$188,9,FALSE),IF($C$1='Adj-Mixed'!$A$20,VLOOKUP(A56,'800'!$A$7:$AB$188,18,FALSE),IF($C$1='Adj-Mixed'!$A$19,VLOOKUP(A56,'800'!$A$7:$AB$188,27,FALSE)))))</f>
        <v>1.8658201377288646</v>
      </c>
      <c r="F56" s="26">
        <f t="shared" si="1"/>
        <v>1.4557154863421733</v>
      </c>
      <c r="G56" s="27">
        <f t="shared" si="9"/>
        <v>40.143191767644382</v>
      </c>
      <c r="H56" s="1"/>
      <c r="I56" s="127">
        <f t="shared" si="7"/>
        <v>54.104812549169871</v>
      </c>
      <c r="J56" s="25">
        <f>IF(A56&gt;200,"",C56*'Adj-Gilts'!$C$6)</f>
        <v>1226.2311150819394</v>
      </c>
      <c r="K56" s="26">
        <f>IF(A56&gt;200,"",D56*'Adj-Gilts'!$C$7)</f>
        <v>0.33599278552236539</v>
      </c>
      <c r="L56" s="1">
        <f t="shared" si="2"/>
        <v>2.9762543813115143</v>
      </c>
      <c r="M56" s="26">
        <f t="shared" si="3"/>
        <v>3.6495757287631259</v>
      </c>
      <c r="N56" s="30">
        <f t="shared" si="10"/>
        <v>100.64165678309048</v>
      </c>
    </row>
    <row r="57" spans="1:14" x14ac:dyDescent="0.25">
      <c r="A57" s="114">
        <f t="shared" si="4"/>
        <v>75</v>
      </c>
      <c r="B57" s="127">
        <f>IF(A57&gt;200,"",IF($C$1='Adj-Mixed'!$A$21,VLOOKUP(A57,'800'!$A$6:$AB$188,3,FALSE),IF($C$1='Adj-Mixed'!$A$20,VLOOKUP(A57,'800'!$A$6:$AB$188,12,FALSE),IF($C$1='Adj-Mixed'!$A$19,VLOOKUP(A57,'800'!$A$6:$AB$188,21,FALSE)))))</f>
        <v>33.676090838547758</v>
      </c>
      <c r="C57" s="126">
        <f t="shared" si="8"/>
        <v>786.9122837188911</v>
      </c>
      <c r="D57" s="26">
        <f t="shared" si="6"/>
        <v>0.52967309415250818</v>
      </c>
      <c r="E57" s="26">
        <f>IF(A57&gt;200,"",IF($C$1='Adj-Mixed'!$A$21,VLOOKUP(A57,'800'!$A$7:$AB$188,9,FALSE),IF($C$1='Adj-Mixed'!$A$20,VLOOKUP(A57,'800'!$A$7:$AB$188,18,FALSE),IF($C$1='Adj-Mixed'!$A$19,VLOOKUP(A57,'800'!$A$7:$AB$188,27,FALSE)))))</f>
        <v>1.887956951258829</v>
      </c>
      <c r="F57" s="26">
        <f t="shared" si="1"/>
        <v>1.4856565160780404</v>
      </c>
      <c r="G57" s="27">
        <f t="shared" si="9"/>
        <v>41.628848283722419</v>
      </c>
      <c r="H57" s="1"/>
      <c r="I57" s="127">
        <f t="shared" si="7"/>
        <v>55.341591059592218</v>
      </c>
      <c r="J57" s="25">
        <f>IF(A57&gt;200,"",C57*'Adj-Gilts'!$C$6)</f>
        <v>1236.7785104223499</v>
      </c>
      <c r="K57" s="26">
        <f>IF(A57&gt;200,"",D57*'Adj-Gilts'!$C$7)</f>
        <v>0.3320531778763528</v>
      </c>
      <c r="L57" s="1">
        <f t="shared" si="2"/>
        <v>3.0115658172450068</v>
      </c>
      <c r="M57" s="26">
        <f t="shared" si="3"/>
        <v>3.724639885491146</v>
      </c>
      <c r="N57" s="30">
        <f t="shared" si="10"/>
        <v>104.36629666858163</v>
      </c>
    </row>
    <row r="58" spans="1:14" x14ac:dyDescent="0.25">
      <c r="A58" s="114">
        <f t="shared" si="4"/>
        <v>76</v>
      </c>
      <c r="B58" s="127">
        <f>IF(A58&gt;200,"",IF($C$1='Adj-Mixed'!$A$21,VLOOKUP(A58,'800'!$A$6:$AB$188,3,FALSE),IF($C$1='Adj-Mixed'!$A$20,VLOOKUP(A58,'800'!$A$6:$AB$188,12,FALSE),IF($C$1='Adj-Mixed'!$A$19,VLOOKUP(A58,'800'!$A$6:$AB$188,21,FALSE)))))</f>
        <v>34.469564949636421</v>
      </c>
      <c r="C58" s="126">
        <f t="shared" si="8"/>
        <v>793.47411108866345</v>
      </c>
      <c r="D58" s="26">
        <f t="shared" si="6"/>
        <v>0.52356817002040068</v>
      </c>
      <c r="E58" s="26">
        <f>IF(A58&gt;200,"",IF($C$1='Adj-Mixed'!$A$21,VLOOKUP(A58,'800'!$A$7:$AB$188,9,FALSE),IF($C$1='Adj-Mixed'!$A$20,VLOOKUP(A58,'800'!$A$7:$AB$188,18,FALSE),IF($C$1='Adj-Mixed'!$A$19,VLOOKUP(A58,'800'!$A$7:$AB$188,27,FALSE)))))</f>
        <v>1.9099709593901313</v>
      </c>
      <c r="F58" s="26">
        <f t="shared" si="1"/>
        <v>1.5155125092072463</v>
      </c>
      <c r="G58" s="27">
        <f t="shared" si="9"/>
        <v>43.144360792929668</v>
      </c>
      <c r="H58" s="1"/>
      <c r="I58" s="127">
        <f t="shared" si="7"/>
        <v>56.588682697980602</v>
      </c>
      <c r="J58" s="25">
        <f>IF(A58&gt;200,"",C58*'Adj-Gilts'!$C$6)</f>
        <v>1247.0916383883821</v>
      </c>
      <c r="K58" s="26">
        <f>IF(A58&gt;200,"",D58*'Adj-Gilts'!$C$7)</f>
        <v>0.32822598808487613</v>
      </c>
      <c r="L58" s="1">
        <f t="shared" si="2"/>
        <v>3.0466813607136114</v>
      </c>
      <c r="M58" s="26">
        <f t="shared" si="3"/>
        <v>3.7994908497796831</v>
      </c>
      <c r="N58" s="30">
        <f t="shared" si="10"/>
        <v>108.16578751836131</v>
      </c>
    </row>
    <row r="59" spans="1:14" x14ac:dyDescent="0.25">
      <c r="A59" s="114">
        <f t="shared" si="4"/>
        <v>77</v>
      </c>
      <c r="B59" s="127">
        <f>IF(A59&gt;200,"",IF($C$1='Adj-Mixed'!$A$21,VLOOKUP(A59,'800'!$A$6:$AB$188,3,FALSE),IF($C$1='Adj-Mixed'!$A$20,VLOOKUP(A59,'800'!$A$6:$AB$188,12,FALSE),IF($C$1='Adj-Mixed'!$A$19,VLOOKUP(A59,'800'!$A$6:$AB$188,21,FALSE)))))</f>
        <v>35.269451678438749</v>
      </c>
      <c r="C59" s="126">
        <f t="shared" si="8"/>
        <v>799.88672880232775</v>
      </c>
      <c r="D59" s="26">
        <f t="shared" si="6"/>
        <v>0.51763595974682053</v>
      </c>
      <c r="E59" s="26">
        <f>IF(A59&gt;200,"",IF($C$1='Adj-Mixed'!$A$21,VLOOKUP(A59,'800'!$A$7:$AB$188,9,FALSE),IF($C$1='Adj-Mixed'!$A$20,VLOOKUP(A59,'800'!$A$7:$AB$188,18,FALSE),IF($C$1='Adj-Mixed'!$A$19,VLOOKUP(A59,'800'!$A$7:$AB$188,27,FALSE)))))</f>
        <v>1.9318596035891851</v>
      </c>
      <c r="F59" s="26">
        <f t="shared" si="1"/>
        <v>1.5452688588203147</v>
      </c>
      <c r="G59" s="27">
        <f t="shared" si="9"/>
        <v>44.689629651749982</v>
      </c>
      <c r="H59" s="1"/>
      <c r="I59" s="127">
        <f t="shared" si="7"/>
        <v>57.845852953703982</v>
      </c>
      <c r="J59" s="25">
        <f>IF(A59&gt;200,"",C59*'Adj-Gilts'!$C$6)</f>
        <v>1257.1702557233823</v>
      </c>
      <c r="K59" s="26">
        <f>IF(A59&gt;200,"",D59*'Adj-Gilts'!$C$7)</f>
        <v>0.32450707297493497</v>
      </c>
      <c r="L59" s="1">
        <f t="shared" si="2"/>
        <v>3.0815969304842867</v>
      </c>
      <c r="M59" s="26">
        <f t="shared" si="3"/>
        <v>3.8740920011333206</v>
      </c>
      <c r="N59" s="30">
        <f t="shared" si="10"/>
        <v>112.03987951949463</v>
      </c>
    </row>
    <row r="60" spans="1:14" x14ac:dyDescent="0.25">
      <c r="A60" s="114">
        <f t="shared" si="4"/>
        <v>78</v>
      </c>
      <c r="B60" s="127">
        <f>IF(A60&gt;200,"",IF($C$1='Adj-Mixed'!$A$21,VLOOKUP(A60,'800'!$A$6:$AB$188,3,FALSE),IF($C$1='Adj-Mixed'!$A$20,VLOOKUP(A60,'800'!$A$6:$AB$188,12,FALSE),IF($C$1='Adj-Mixed'!$A$19,VLOOKUP(A60,'800'!$A$6:$AB$188,21,FALSE)))))</f>
        <v>36.075601728498938</v>
      </c>
      <c r="C60" s="126">
        <f t="shared" si="8"/>
        <v>806.15005006018941</v>
      </c>
      <c r="D60" s="26">
        <f t="shared" si="6"/>
        <v>0.5118700998100143</v>
      </c>
      <c r="E60" s="26">
        <f>IF(A60&gt;200,"",IF($C$1='Adj-Mixed'!$A$21,VLOOKUP(A60,'800'!$A$7:$AB$188,9,FALSE),IF($C$1='Adj-Mixed'!$A$20,VLOOKUP(A60,'800'!$A$7:$AB$188,18,FALSE),IF($C$1='Adj-Mixed'!$A$19,VLOOKUP(A60,'800'!$A$7:$AB$188,27,FALSE)))))</f>
        <v>1.9536206556529869</v>
      </c>
      <c r="F60" s="26">
        <f t="shared" si="1"/>
        <v>1.5749113893532756</v>
      </c>
      <c r="G60" s="27">
        <f t="shared" si="9"/>
        <v>46.264541041103257</v>
      </c>
      <c r="H60" s="1"/>
      <c r="I60" s="127">
        <f t="shared" si="7"/>
        <v>59.112867179709525</v>
      </c>
      <c r="J60" s="25">
        <f>IF(A60&gt;200,"",C60*'Adj-Gilts'!$C$6)</f>
        <v>1267.0142260055413</v>
      </c>
      <c r="K60" s="26">
        <f>IF(A60&gt;200,"",D60*'Adj-Gilts'!$C$7)</f>
        <v>0.32089244324134464</v>
      </c>
      <c r="L60" s="1">
        <f t="shared" si="2"/>
        <v>3.1163089722492954</v>
      </c>
      <c r="M60" s="26">
        <f t="shared" si="3"/>
        <v>3.9484078004685643</v>
      </c>
      <c r="N60" s="30">
        <f t="shared" si="10"/>
        <v>115.98828731996319</v>
      </c>
    </row>
    <row r="61" spans="1:14" x14ac:dyDescent="0.25">
      <c r="A61" s="114">
        <f t="shared" si="4"/>
        <v>79</v>
      </c>
      <c r="B61" s="127">
        <f>IF(A61&gt;200,"",IF($C$1='Adj-Mixed'!$A$21,VLOOKUP(A61,'800'!$A$6:$AB$188,3,FALSE),IF($C$1='Adj-Mixed'!$A$20,VLOOKUP(A61,'800'!$A$6:$AB$188,12,FALSE),IF($C$1='Adj-Mixed'!$A$19,VLOOKUP(A61,'800'!$A$6:$AB$188,21,FALSE)))))</f>
        <v>36.887865783352247</v>
      </c>
      <c r="C61" s="126">
        <f t="shared" si="8"/>
        <v>812.26405485330838</v>
      </c>
      <c r="D61" s="26">
        <f t="shared" si="6"/>
        <v>0.5062644628783457</v>
      </c>
      <c r="E61" s="26">
        <f>IF(A61&gt;200,"",IF($C$1='Adj-Mixed'!$A$21,VLOOKUP(A61,'800'!$A$7:$AB$188,9,FALSE),IF($C$1='Adj-Mixed'!$A$20,VLOOKUP(A61,'800'!$A$7:$AB$188,18,FALSE),IF($C$1='Adj-Mixed'!$A$19,VLOOKUP(A61,'800'!$A$7:$AB$188,27,FALSE)))))</f>
        <v>1.9752522116890081</v>
      </c>
      <c r="F61" s="26">
        <f t="shared" si="1"/>
        <v>1.604426370824479</v>
      </c>
      <c r="G61" s="27">
        <f t="shared" si="9"/>
        <v>47.868967411927734</v>
      </c>
      <c r="H61" s="1"/>
      <c r="I61" s="127">
        <f t="shared" si="7"/>
        <v>60.389490697496626</v>
      </c>
      <c r="J61" s="25">
        <f>IF(A61&gt;200,"",C61*'Adj-Gilts'!$C$6)</f>
        <v>1276.6235177871017</v>
      </c>
      <c r="K61" s="26">
        <f>IF(A61&gt;200,"",D61*'Adj-Gilts'!$C$7)</f>
        <v>0.31737825764700206</v>
      </c>
      <c r="L61" s="1">
        <f t="shared" si="2"/>
        <v>3.1508144490232568</v>
      </c>
      <c r="M61" s="26">
        <f t="shared" si="3"/>
        <v>4.0224038258064985</v>
      </c>
      <c r="N61" s="30">
        <f t="shared" si="10"/>
        <v>120.01069114576968</v>
      </c>
    </row>
    <row r="62" spans="1:14" x14ac:dyDescent="0.25">
      <c r="A62" s="114">
        <f t="shared" si="4"/>
        <v>80</v>
      </c>
      <c r="B62" s="127">
        <f>IF(A62&gt;200,"",IF($C$1='Adj-Mixed'!$A$21,VLOOKUP(A62,'800'!$A$6:$AB$188,3,FALSE),IF($C$1='Adj-Mixed'!$A$20,VLOOKUP(A62,'800'!$A$6:$AB$188,12,FALSE),IF($C$1='Adj-Mixed'!$A$19,VLOOKUP(A62,'800'!$A$6:$AB$188,21,FALSE)))))</f>
        <v>37.706094572102693</v>
      </c>
      <c r="C62" s="126">
        <f t="shared" si="8"/>
        <v>818.2287887504458</v>
      </c>
      <c r="D62" s="26">
        <f t="shared" si="6"/>
        <v>0.50081314880881034</v>
      </c>
      <c r="E62" s="26">
        <f>IF(A62&gt;200,"",IF($C$1='Adj-Mixed'!$A$21,VLOOKUP(A62,'800'!$A$7:$AB$188,9,FALSE),IF($C$1='Adj-Mixed'!$A$20,VLOOKUP(A62,'800'!$A$7:$AB$188,18,FALSE),IF($C$1='Adj-Mixed'!$A$19,VLOOKUP(A62,'800'!$A$7:$AB$188,27,FALSE)))))</f>
        <v>1.9967526858640019</v>
      </c>
      <c r="F62" s="26">
        <f t="shared" si="1"/>
        <v>1.6338005315887016</v>
      </c>
      <c r="G62" s="27">
        <f t="shared" si="9"/>
        <v>49.502767943516439</v>
      </c>
      <c r="H62" s="1"/>
      <c r="I62" s="127">
        <f t="shared" si="7"/>
        <v>61.67548890018444</v>
      </c>
      <c r="J62" s="25">
        <f>IF(A62&gt;200,"",C62*'Adj-Gilts'!$C$6)</f>
        <v>1285.9982026878176</v>
      </c>
      <c r="K62" s="26">
        <f>IF(A62&gt;200,"",D62*'Adj-Gilts'!$C$7)</f>
        <v>0.31396081737983589</v>
      </c>
      <c r="L62" s="1">
        <f t="shared" si="2"/>
        <v>3.1851108311715874</v>
      </c>
      <c r="M62" s="26">
        <f t="shared" si="3"/>
        <v>4.0960468042481617</v>
      </c>
      <c r="N62" s="30">
        <f t="shared" si="10"/>
        <v>124.10673795001784</v>
      </c>
    </row>
    <row r="63" spans="1:14" x14ac:dyDescent="0.25">
      <c r="A63" s="114">
        <f t="shared" si="4"/>
        <v>81</v>
      </c>
      <c r="B63" s="127">
        <f>IF(A63&gt;200,"",IF($C$1='Adj-Mixed'!$A$21,VLOOKUP(A63,'800'!$A$6:$AB$188,3,FALSE),IF($C$1='Adj-Mixed'!$A$20,VLOOKUP(A63,'800'!$A$6:$AB$188,12,FALSE),IF($C$1='Adj-Mixed'!$A$19,VLOOKUP(A63,'800'!$A$6:$AB$188,21,FALSE)))))</f>
        <v>38.530138933759879</v>
      </c>
      <c r="C63" s="126">
        <f t="shared" si="8"/>
        <v>824.04436165718664</v>
      </c>
      <c r="D63" s="26">
        <f t="shared" si="6"/>
        <v>0.49551047591434078</v>
      </c>
      <c r="E63" s="26">
        <f>IF(A63&gt;200,"",IF($C$1='Adj-Mixed'!$A$21,VLOOKUP(A63,'800'!$A$7:$AB$188,9,FALSE),IF($C$1='Adj-Mixed'!$A$20,VLOOKUP(A63,'800'!$A$7:$AB$188,18,FALSE),IF($C$1='Adj-Mixed'!$A$19,VLOOKUP(A63,'800'!$A$7:$AB$188,27,FALSE)))))</f>
        <v>2.0181208039138827</v>
      </c>
      <c r="F63" s="26">
        <f t="shared" si="1"/>
        <v>1.6630210696083039</v>
      </c>
      <c r="G63" s="27">
        <f t="shared" si="9"/>
        <v>51.165789013124744</v>
      </c>
      <c r="H63" s="1"/>
      <c r="I63" s="127">
        <f t="shared" si="7"/>
        <v>62.970627353629126</v>
      </c>
      <c r="J63" s="25">
        <f>IF(A63&gt;200,"",C63*'Adj-Gilts'!$C$6)</f>
        <v>1295.138453444687</v>
      </c>
      <c r="K63" s="26">
        <f>IF(A63&gt;200,"",D63*'Adj-Gilts'!$C$7)</f>
        <v>0.3106365605782615</v>
      </c>
      <c r="L63" s="1">
        <f t="shared" si="2"/>
        <v>3.2191960860578126</v>
      </c>
      <c r="M63" s="26">
        <f t="shared" si="3"/>
        <v>4.169304640232105</v>
      </c>
      <c r="N63" s="30">
        <f t="shared" si="10"/>
        <v>128.27604259024994</v>
      </c>
    </row>
    <row r="64" spans="1:14" x14ac:dyDescent="0.25">
      <c r="A64" s="114">
        <f t="shared" si="4"/>
        <v>82</v>
      </c>
      <c r="B64" s="127">
        <f>IF(A64&gt;200,"",IF($C$1='Adj-Mixed'!$A$21,VLOOKUP(A64,'800'!$A$6:$AB$188,3,FALSE),IF($C$1='Adj-Mixed'!$A$20,VLOOKUP(A64,'800'!$A$6:$AB$188,12,FALSE),IF($C$1='Adj-Mixed'!$A$19,VLOOKUP(A64,'800'!$A$6:$AB$188,21,FALSE)))))</f>
        <v>39.359849880308936</v>
      </c>
      <c r="C64" s="126">
        <f t="shared" si="8"/>
        <v>829.71094654905642</v>
      </c>
      <c r="D64" s="26">
        <f t="shared" si="6"/>
        <v>0.49035097251312765</v>
      </c>
      <c r="E64" s="26">
        <f>IF(A64&gt;200,"",IF($C$1='Adj-Mixed'!$A$21,VLOOKUP(A64,'800'!$A$7:$AB$188,9,FALSE),IF($C$1='Adj-Mixed'!$A$20,VLOOKUP(A64,'800'!$A$7:$AB$188,18,FALSE),IF($C$1='Adj-Mixed'!$A$19,VLOOKUP(A64,'800'!$A$7:$AB$188,27,FALSE)))))</f>
        <v>2.0393555964105445</v>
      </c>
      <c r="F64" s="26">
        <f t="shared" si="1"/>
        <v>1.6920756622479085</v>
      </c>
      <c r="G64" s="27">
        <f t="shared" si="9"/>
        <v>52.857864675372653</v>
      </c>
      <c r="H64" s="1"/>
      <c r="I64" s="127">
        <f t="shared" si="7"/>
        <v>64.274671895549943</v>
      </c>
      <c r="J64" s="25">
        <f>IF(A64&gt;200,"",C64*'Adj-Gilts'!$C$6)</f>
        <v>1304.0445419208102</v>
      </c>
      <c r="K64" s="26">
        <f>IF(A64&gt;200,"",D64*'Adj-Gilts'!$C$7)</f>
        <v>0.30740205703343282</v>
      </c>
      <c r="L64" s="1">
        <f t="shared" si="2"/>
        <v>3.2530686673031624</v>
      </c>
      <c r="M64" s="26">
        <f t="shared" si="3"/>
        <v>4.2421464400902931</v>
      </c>
      <c r="N64" s="30">
        <f t="shared" si="10"/>
        <v>132.51818903034024</v>
      </c>
    </row>
    <row r="65" spans="1:14" x14ac:dyDescent="0.25">
      <c r="A65" s="114">
        <f t="shared" si="4"/>
        <v>83</v>
      </c>
      <c r="B65" s="127">
        <f>IF(A65&gt;200,"",IF($C$1='Adj-Mixed'!$A$21,VLOOKUP(A65,'800'!$A$6:$AB$188,3,FALSE),IF($C$1='Adj-Mixed'!$A$20,VLOOKUP(A65,'800'!$A$6:$AB$188,12,FALSE),IF($C$1='Adj-Mixed'!$A$19,VLOOKUP(A65,'800'!$A$6:$AB$188,21,FALSE)))))</f>
        <v>40.195078658489521</v>
      </c>
      <c r="C65" s="126">
        <f t="shared" si="8"/>
        <v>835.22877818058555</v>
      </c>
      <c r="D65" s="26">
        <f t="shared" si="6"/>
        <v>0.48532936876839666</v>
      </c>
      <c r="E65" s="26">
        <f>IF(A65&gt;200,"",IF($C$1='Adj-Mixed'!$A$21,VLOOKUP(A65,'800'!$A$7:$AB$188,9,FALSE),IF($C$1='Adj-Mixed'!$A$20,VLOOKUP(A65,'800'!$A$7:$AB$188,18,FALSE),IF($C$1='Adj-Mixed'!$A$19,VLOOKUP(A65,'800'!$A$7:$AB$188,27,FALSE)))))</f>
        <v>2.0604563917853662</v>
      </c>
      <c r="F65" s="26">
        <f t="shared" si="1"/>
        <v>1.7209524746052693</v>
      </c>
      <c r="G65" s="27">
        <f t="shared" si="9"/>
        <v>54.578817149977922</v>
      </c>
      <c r="H65" s="1"/>
      <c r="I65" s="127">
        <f t="shared" si="7"/>
        <v>65.58738873262638</v>
      </c>
      <c r="J65" s="25">
        <f>IF(A65&gt;200,"",C65*'Adj-Gilts'!$C$6)</f>
        <v>1312.7168370764437</v>
      </c>
      <c r="K65" s="26">
        <f>IF(A65&gt;200,"",D65*'Adj-Gilts'!$C$7)</f>
        <v>0.30425400307358108</v>
      </c>
      <c r="L65" s="1">
        <f t="shared" si="2"/>
        <v>3.2867275036580508</v>
      </c>
      <c r="M65" s="26">
        <f t="shared" si="3"/>
        <v>4.3145425329341514</v>
      </c>
      <c r="N65" s="30">
        <f t="shared" si="10"/>
        <v>136.83273156327439</v>
      </c>
    </row>
    <row r="66" spans="1:14" x14ac:dyDescent="0.25">
      <c r="A66" s="114">
        <f t="shared" si="4"/>
        <v>84</v>
      </c>
      <c r="B66" s="127">
        <f>IF(A66&gt;200,"",IF($C$1='Adj-Mixed'!$A$21,VLOOKUP(A66,'800'!$A$6:$AB$188,3,FALSE),IF($C$1='Adj-Mixed'!$A$20,VLOOKUP(A66,'800'!$A$6:$AB$188,12,FALSE),IF($C$1='Adj-Mixed'!$A$19,VLOOKUP(A66,'800'!$A$6:$AB$188,21,FALSE)))))</f>
        <v>41.035676810260959</v>
      </c>
      <c r="C66" s="126">
        <f t="shared" si="8"/>
        <v>840.5981517714381</v>
      </c>
      <c r="D66" s="26">
        <f t="shared" si="6"/>
        <v>0.48088306432910011</v>
      </c>
      <c r="E66" s="26">
        <f>IF(A66&gt;200,"",IF($C$1='Adj-Mixed'!$A$21,VLOOKUP(A66,'800'!$A$7:$AB$188,9,FALSE),IF($C$1='Adj-Mixed'!$A$20,VLOOKUP(A66,'800'!$A$7:$AB$188,18,FALSE),IF($C$1='Adj-Mixed'!$A$19,VLOOKUP(A66,'800'!$A$7:$AB$188,27,FALSE)))))</f>
        <v>2.0795076270675938</v>
      </c>
      <c r="F66" s="26">
        <f t="shared" si="1"/>
        <v>1.7480302679076283</v>
      </c>
      <c r="G66" s="27">
        <f t="shared" si="9"/>
        <v>56.326847417885553</v>
      </c>
      <c r="H66" s="1"/>
      <c r="I66" s="127">
        <f t="shared" si="7"/>
        <v>66.908544535530396</v>
      </c>
      <c r="J66" s="25">
        <f>IF(A66&gt;200,"",C66*'Adj-Gilts'!$C$6)</f>
        <v>1321.1558029040098</v>
      </c>
      <c r="K66" s="26">
        <f>IF(A66&gt;200,"",D66*'Adj-Gilts'!$C$7)</f>
        <v>0.30146660545951792</v>
      </c>
      <c r="L66" s="1">
        <f t="shared" si="2"/>
        <v>3.3171169936906453</v>
      </c>
      <c r="M66" s="26">
        <f t="shared" si="3"/>
        <v>4.3824283651259002</v>
      </c>
      <c r="N66" s="30">
        <f t="shared" si="10"/>
        <v>141.21515992840028</v>
      </c>
    </row>
    <row r="67" spans="1:14" x14ac:dyDescent="0.25">
      <c r="A67" s="114">
        <f t="shared" si="4"/>
        <v>85</v>
      </c>
      <c r="B67" s="127">
        <f>IF(A67&gt;200,"",IF($C$1='Adj-Mixed'!$A$21,VLOOKUP(A67,'800'!$A$6:$AB$188,3,FALSE),IF($C$1='Adj-Mixed'!$A$20,VLOOKUP(A67,'800'!$A$6:$AB$188,12,FALSE),IF($C$1='Adj-Mixed'!$A$19,VLOOKUP(A67,'800'!$A$6:$AB$188,21,FALSE)))))</f>
        <v>41.881496231932765</v>
      </c>
      <c r="C67" s="126">
        <f t="shared" si="8"/>
        <v>845.81942167180557</v>
      </c>
      <c r="D67" s="26">
        <f t="shared" si="6"/>
        <v>0.47705748734496706</v>
      </c>
      <c r="E67" s="26">
        <f>IF(A67&gt;200,"",IF($C$1='Adj-Mixed'!$A$21,VLOOKUP(A67,'800'!$A$7:$AB$188,9,FALSE),IF($C$1='Adj-Mixed'!$A$20,VLOOKUP(A67,'800'!$A$7:$AB$188,18,FALSE),IF($C$1='Adj-Mixed'!$A$19,VLOOKUP(A67,'800'!$A$7:$AB$188,27,FALSE)))))</f>
        <v>2.0961834297275912</v>
      </c>
      <c r="F67" s="26">
        <f t="shared" si="1"/>
        <v>1.772992656250213</v>
      </c>
      <c r="G67" s="27">
        <f t="shared" si="9"/>
        <v>58.099840074135763</v>
      </c>
      <c r="H67" s="1"/>
      <c r="I67" s="127">
        <f t="shared" si="7"/>
        <v>68.237906531860915</v>
      </c>
      <c r="J67" s="25">
        <f>IF(A67&gt;200,"",C67*'Adj-Gilts'!$C$6)</f>
        <v>1329.3619963305143</v>
      </c>
      <c r="K67" s="26">
        <f>IF(A67&gt;200,"",D67*'Adj-Gilts'!$C$7)</f>
        <v>0.29906834319395104</v>
      </c>
      <c r="L67" s="1">
        <f t="shared" si="2"/>
        <v>3.3437173233393098</v>
      </c>
      <c r="M67" s="26">
        <f t="shared" si="3"/>
        <v>4.4450107361192686</v>
      </c>
      <c r="N67" s="30">
        <f t="shared" si="10"/>
        <v>145.66017066451954</v>
      </c>
    </row>
    <row r="68" spans="1:14" x14ac:dyDescent="0.25">
      <c r="A68" s="114">
        <f t="shared" si="4"/>
        <v>86</v>
      </c>
      <c r="B68" s="127">
        <f>IF(A68&gt;200,"",IF($C$1='Adj-Mixed'!$A$21,VLOOKUP(A68,'800'!$A$6:$AB$188,3,FALSE),IF($C$1='Adj-Mixed'!$A$20,VLOOKUP(A68,'800'!$A$6:$AB$188,12,FALSE),IF($C$1='Adj-Mixed'!$A$19,VLOOKUP(A68,'800'!$A$6:$AB$188,21,FALSE)))))</f>
        <v>42.732389231941617</v>
      </c>
      <c r="C68" s="126">
        <f t="shared" si="8"/>
        <v>850.8930000088526</v>
      </c>
      <c r="D68" s="26">
        <f t="shared" si="6"/>
        <v>0.47330460296302768</v>
      </c>
      <c r="E68" s="26">
        <f>IF(A68&gt;200,"",IF($C$1='Adj-Mixed'!$A$21,VLOOKUP(A68,'800'!$A$7:$AB$188,9,FALSE),IF($C$1='Adj-Mixed'!$A$20,VLOOKUP(A68,'800'!$A$7:$AB$188,18,FALSE),IF($C$1='Adj-Mixed'!$A$19,VLOOKUP(A68,'800'!$A$7:$AB$188,27,FALSE)))))</f>
        <v>2.1128042992603544</v>
      </c>
      <c r="F68" s="26">
        <f t="shared" ref="F68:F131" si="11">IF(A68&gt;200,"",(E68*C68)/1000)</f>
        <v>1.7977703886292444</v>
      </c>
      <c r="G68" s="27">
        <f t="shared" si="9"/>
        <v>59.897610462765009</v>
      </c>
      <c r="H68" s="1"/>
      <c r="I68" s="127">
        <f t="shared" si="7"/>
        <v>69.575242596951099</v>
      </c>
      <c r="J68" s="25">
        <f>IF(A68&gt;200,"",C68*'Adj-Gilts'!$C$6)</f>
        <v>1337.3360650901852</v>
      </c>
      <c r="K68" s="26">
        <f>IF(A68&gt;200,"",D68*'Adj-Gilts'!$C$7)</f>
        <v>0.2967156520737434</v>
      </c>
      <c r="L68" s="1">
        <f t="shared" ref="L68:L131" si="12">IF(A68&gt;200,"",1/K68)</f>
        <v>3.3702300266636009</v>
      </c>
      <c r="M68" s="26">
        <f t="shared" ref="M68:M131" si="13">IF(A68&gt;200,"",(J68/1000)/K68)</f>
        <v>4.5071301623070905</v>
      </c>
      <c r="N68" s="30">
        <f t="shared" si="10"/>
        <v>150.16730082682662</v>
      </c>
    </row>
    <row r="69" spans="1:14" x14ac:dyDescent="0.25">
      <c r="A69" s="114">
        <f t="shared" ref="A69:A132" si="14">A68+1</f>
        <v>87</v>
      </c>
      <c r="B69" s="127">
        <f>IF(A69&gt;200,"",IF($C$1='Adj-Mixed'!$A$21,VLOOKUP(A69,'800'!$A$6:$AB$188,3,FALSE),IF($C$1='Adj-Mixed'!$A$20,VLOOKUP(A69,'800'!$A$6:$AB$188,12,FALSE),IF($C$1='Adj-Mixed'!$A$19,VLOOKUP(A69,'800'!$A$6:$AB$188,21,FALSE)))))</f>
        <v>43.588208587257121</v>
      </c>
      <c r="C69" s="126">
        <f t="shared" ref="C69:C132" si="15">IF(A69&gt;200,"",(B69-B68)*1000)</f>
        <v>855.81935531550357</v>
      </c>
      <c r="D69" s="26">
        <f t="shared" ref="D69:D132" si="16">IF(A69&gt;200,"",1/E69)</f>
        <v>0.46962191033195255</v>
      </c>
      <c r="E69" s="26">
        <f>IF(A69&gt;200,"",IF($C$1='Adj-Mixed'!$A$21,VLOOKUP(A69,'800'!$A$7:$AB$188,9,FALSE),IF($C$1='Adj-Mixed'!$A$20,VLOOKUP(A69,'800'!$A$7:$AB$188,18,FALSE),IF($C$1='Adj-Mixed'!$A$19,VLOOKUP(A69,'800'!$A$7:$AB$188,27,FALSE)))))</f>
        <v>2.1293725399080068</v>
      </c>
      <c r="F69" s="26">
        <f t="shared" si="11"/>
        <v>1.8223582343306068</v>
      </c>
      <c r="G69" s="27">
        <f t="shared" si="9"/>
        <v>61.719968697095617</v>
      </c>
      <c r="H69" s="1"/>
      <c r="I69" s="127">
        <f t="shared" ref="I69:I132" si="17">IF(A69&gt;200,"",I68+(J69/1000))</f>
        <v>70.920321342520452</v>
      </c>
      <c r="J69" s="25">
        <f>IF(A69&gt;200,"",C69*'Adj-Gilts'!$C$6)</f>
        <v>1345.0787455693574</v>
      </c>
      <c r="K69" s="26">
        <f>IF(A69&gt;200,"",D69*'Adj-Gilts'!$C$7)</f>
        <v>0.29440696430993146</v>
      </c>
      <c r="L69" s="1">
        <f t="shared" si="12"/>
        <v>3.3966587792647069</v>
      </c>
      <c r="M69" s="26">
        <f t="shared" si="13"/>
        <v>4.5687735299405166</v>
      </c>
      <c r="N69" s="30">
        <f t="shared" si="10"/>
        <v>154.73607435676715</v>
      </c>
    </row>
    <row r="70" spans="1:14" x14ac:dyDescent="0.25">
      <c r="A70" s="114">
        <f t="shared" si="14"/>
        <v>88</v>
      </c>
      <c r="B70" s="127">
        <f>IF(A70&gt;200,"",IF($C$1='Adj-Mixed'!$A$21,VLOOKUP(A70,'800'!$A$6:$AB$188,3,FALSE),IF($C$1='Adj-Mixed'!$A$20,VLOOKUP(A70,'800'!$A$6:$AB$188,12,FALSE),IF($C$1='Adj-Mixed'!$A$19,VLOOKUP(A70,'800'!$A$6:$AB$188,21,FALSE)))))</f>
        <v>44.448807598400727</v>
      </c>
      <c r="C70" s="126">
        <f t="shared" si="15"/>
        <v>860.59901114360571</v>
      </c>
      <c r="D70" s="26">
        <f t="shared" si="16"/>
        <v>0.46600700009622592</v>
      </c>
      <c r="E70" s="26">
        <f>IF(A70&gt;200,"",IF($C$1='Adj-Mixed'!$A$21,VLOOKUP(A70,'800'!$A$7:$AB$188,9,FALSE),IF($C$1='Adj-Mixed'!$A$20,VLOOKUP(A70,'800'!$A$7:$AB$188,18,FALSE),IF($C$1='Adj-Mixed'!$A$19,VLOOKUP(A70,'800'!$A$7:$AB$188,27,FALSE)))))</f>
        <v>2.1458905119311722</v>
      </c>
      <c r="F70" s="26">
        <f t="shared" si="11"/>
        <v>1.8467512525904126</v>
      </c>
      <c r="G70" s="27">
        <f t="shared" ref="G70:G133" si="18">IF(A70&gt;200,"",F70+G69)</f>
        <v>63.566719949686032</v>
      </c>
      <c r="H70" s="1"/>
      <c r="I70" s="127">
        <f t="shared" si="17"/>
        <v>72.272912203147257</v>
      </c>
      <c r="J70" s="25">
        <f>IF(A70&gt;200,"",C70*'Adj-Gilts'!$C$6)</f>
        <v>1352.5908606268003</v>
      </c>
      <c r="K70" s="26">
        <f>IF(A70&gt;200,"",D70*'Adj-Gilts'!$C$7)</f>
        <v>0.29214076947246975</v>
      </c>
      <c r="L70" s="1">
        <f t="shared" si="12"/>
        <v>3.4230073461014698</v>
      </c>
      <c r="M70" s="26">
        <f t="shared" si="13"/>
        <v>4.6299284521952471</v>
      </c>
      <c r="N70" s="30">
        <f t="shared" ref="N70:N133" si="19">IF(A70&gt;200,"",N69+M70)</f>
        <v>159.36600280896241</v>
      </c>
    </row>
    <row r="71" spans="1:14" x14ac:dyDescent="0.25">
      <c r="A71" s="114">
        <f t="shared" si="14"/>
        <v>89</v>
      </c>
      <c r="B71" s="127">
        <f>IF(A71&gt;200,"",IF($C$1='Adj-Mixed'!$A$21,VLOOKUP(A71,'800'!$A$6:$AB$188,3,FALSE),IF($C$1='Adj-Mixed'!$A$20,VLOOKUP(A71,'800'!$A$6:$AB$188,12,FALSE),IF($C$1='Adj-Mixed'!$A$19,VLOOKUP(A71,'800'!$A$6:$AB$188,21,FALSE)))))</f>
        <v>45.314040143064133</v>
      </c>
      <c r="C71" s="126">
        <f t="shared" si="15"/>
        <v>865.23254466340654</v>
      </c>
      <c r="D71" s="26">
        <f t="shared" si="16"/>
        <v>0.46245755104321445</v>
      </c>
      <c r="E71" s="26">
        <f>IF(A71&gt;200,"",IF($C$1='Adj-Mixed'!$A$21,VLOOKUP(A71,'800'!$A$7:$AB$188,9,FALSE),IF($C$1='Adj-Mixed'!$A$20,VLOOKUP(A71,'800'!$A$7:$AB$188,18,FALSE),IF($C$1='Adj-Mixed'!$A$19,VLOOKUP(A71,'800'!$A$7:$AB$188,27,FALSE)))))</f>
        <v>2.1623606269249884</v>
      </c>
      <c r="F71" s="26">
        <f t="shared" si="11"/>
        <v>1.8709447877142669</v>
      </c>
      <c r="G71" s="27">
        <f t="shared" si="18"/>
        <v>65.437664737400297</v>
      </c>
      <c r="H71" s="1"/>
      <c r="I71" s="127">
        <f t="shared" si="17"/>
        <v>73.632785520539798</v>
      </c>
      <c r="J71" s="25">
        <f>IF(A71&gt;200,"",C71*'Adj-Gilts'!$C$6)</f>
        <v>1359.8733173925389</v>
      </c>
      <c r="K71" s="26">
        <f>IF(A71&gt;200,"",D71*'Adj-Gilts'!$C$7)</f>
        <v>0.28991561238827146</v>
      </c>
      <c r="L71" s="1">
        <f t="shared" si="12"/>
        <v>3.449279574018743</v>
      </c>
      <c r="M71" s="26">
        <f t="shared" si="13"/>
        <v>4.6905832569351915</v>
      </c>
      <c r="N71" s="30">
        <f t="shared" si="19"/>
        <v>164.05658606589759</v>
      </c>
    </row>
    <row r="72" spans="1:14" x14ac:dyDescent="0.25">
      <c r="A72" s="114">
        <f t="shared" si="14"/>
        <v>90</v>
      </c>
      <c r="B72" s="127">
        <f>IF(A72&gt;200,"",IF($C$1='Adj-Mixed'!$A$21,VLOOKUP(A72,'800'!$A$6:$AB$188,3,FALSE),IF($C$1='Adj-Mixed'!$A$20,VLOOKUP(A72,'800'!$A$6:$AB$188,12,FALSE),IF($C$1='Adj-Mixed'!$A$19,VLOOKUP(A72,'800'!$A$6:$AB$188,21,FALSE)))))</f>
        <v>46.183760728314638</v>
      </c>
      <c r="C72" s="126">
        <f t="shared" si="15"/>
        <v>869.720585250505</v>
      </c>
      <c r="D72" s="26">
        <f t="shared" si="16"/>
        <v>0.45897132686469355</v>
      </c>
      <c r="E72" s="26">
        <f>IF(A72&gt;200,"",IF($C$1='Adj-Mixed'!$A$21,VLOOKUP(A72,'800'!$A$7:$AB$188,9,FALSE),IF($C$1='Adj-Mixed'!$A$20,VLOOKUP(A72,'800'!$A$7:$AB$188,18,FALSE),IF($C$1='Adj-Mixed'!$A$19,VLOOKUP(A72,'800'!$A$7:$AB$188,27,FALSE)))))</f>
        <v>2.1787853433702704</v>
      </c>
      <c r="F72" s="26">
        <f t="shared" si="11"/>
        <v>1.894934463971214</v>
      </c>
      <c r="G72" s="27">
        <f t="shared" si="18"/>
        <v>67.332599201371508</v>
      </c>
      <c r="H72" s="1"/>
      <c r="I72" s="127">
        <f t="shared" si="17"/>
        <v>74.999712625586781</v>
      </c>
      <c r="J72" s="25">
        <f>IF(A72&gt;200,"",C72*'Adj-Gilts'!$C$6)</f>
        <v>1366.9271050469829</v>
      </c>
      <c r="K72" s="26">
        <f>IF(A72&gt;200,"",D72*'Adj-Gilts'!$C$7)</f>
        <v>0.2877300911110024</v>
      </c>
      <c r="L72" s="1">
        <f t="shared" si="12"/>
        <v>3.4754793846508512</v>
      </c>
      <c r="M72" s="26">
        <f t="shared" si="13"/>
        <v>4.7507269739112576</v>
      </c>
      <c r="N72" s="30">
        <f t="shared" si="19"/>
        <v>168.80731303980886</v>
      </c>
    </row>
    <row r="73" spans="1:14" x14ac:dyDescent="0.25">
      <c r="A73" s="114">
        <f t="shared" si="14"/>
        <v>91</v>
      </c>
      <c r="B73" s="127">
        <f>IF(A73&gt;200,"",IF($C$1='Adj-Mixed'!$A$21,VLOOKUP(A73,'800'!$A$6:$AB$188,3,FALSE),IF($C$1='Adj-Mixed'!$A$20,VLOOKUP(A73,'800'!$A$6:$AB$188,12,FALSE),IF($C$1='Adj-Mixed'!$A$19,VLOOKUP(A73,'800'!$A$6:$AB$188,21,FALSE)))))</f>
        <v>47.057824541377158</v>
      </c>
      <c r="C73" s="126">
        <f t="shared" si="15"/>
        <v>874.06381306252001</v>
      </c>
      <c r="D73" s="26">
        <f t="shared" si="16"/>
        <v>0.45554617303226219</v>
      </c>
      <c r="E73" s="26">
        <f>IF(A73&gt;200,"",IF($C$1='Adj-Mixed'!$A$21,VLOOKUP(A73,'800'!$A$7:$AB$188,9,FALSE),IF($C$1='Adj-Mixed'!$A$20,VLOOKUP(A73,'800'!$A$7:$AB$188,18,FALSE),IF($C$1='Adj-Mixed'!$A$19,VLOOKUP(A73,'800'!$A$7:$AB$188,27,FALSE)))))</f>
        <v>2.1951671624056845</v>
      </c>
      <c r="F73" s="26">
        <f t="shared" si="11"/>
        <v>1.9187161802819448</v>
      </c>
      <c r="G73" s="27">
        <f t="shared" si="18"/>
        <v>69.251315381653455</v>
      </c>
      <c r="H73" s="1"/>
      <c r="I73" s="127">
        <f t="shared" si="17"/>
        <v>76.37346591817068</v>
      </c>
      <c r="J73" s="25">
        <f>IF(A73&gt;200,"",C73*'Adj-Gilts'!$C$6)</f>
        <v>1373.7532925839</v>
      </c>
      <c r="K73" s="26">
        <f>IF(A73&gt;200,"",D73*'Adj-Gilts'!$C$7)</f>
        <v>0.28558285496227193</v>
      </c>
      <c r="L73" s="1">
        <f t="shared" si="12"/>
        <v>3.5016107676775943</v>
      </c>
      <c r="M73" s="26">
        <f t="shared" si="13"/>
        <v>4.8103493214443329</v>
      </c>
      <c r="N73" s="30">
        <f t="shared" si="19"/>
        <v>173.6176623612532</v>
      </c>
    </row>
    <row r="74" spans="1:14" x14ac:dyDescent="0.25">
      <c r="A74" s="114">
        <f t="shared" si="14"/>
        <v>92</v>
      </c>
      <c r="B74" s="127">
        <f>IF(A74&gt;200,"",IF($C$1='Adj-Mixed'!$A$21,VLOOKUP(A74,'800'!$A$6:$AB$188,3,FALSE),IF($C$1='Adj-Mixed'!$A$20,VLOOKUP(A74,'800'!$A$6:$AB$188,12,FALSE),IF($C$1='Adj-Mixed'!$A$19,VLOOKUP(A74,'800'!$A$6:$AB$188,21,FALSE)))))</f>
        <v>47.936087498983994</v>
      </c>
      <c r="C74" s="126">
        <f t="shared" si="15"/>
        <v>878.26295760683593</v>
      </c>
      <c r="D74" s="26">
        <f t="shared" si="16"/>
        <v>0.45218001378496897</v>
      </c>
      <c r="E74" s="26">
        <f>IF(A74&gt;200,"",IF($C$1='Adj-Mixed'!$A$21,VLOOKUP(A74,'800'!$A$7:$AB$188,9,FALSE),IF($C$1='Adj-Mixed'!$A$20,VLOOKUP(A74,'800'!$A$7:$AB$188,18,FALSE),IF($C$1='Adj-Mixed'!$A$19,VLOOKUP(A74,'800'!$A$7:$AB$188,27,FALSE)))))</f>
        <v>2.2115086238100363</v>
      </c>
      <c r="F74" s="26">
        <f t="shared" si="11"/>
        <v>1.9422861047204261</v>
      </c>
      <c r="G74" s="27">
        <f t="shared" si="18"/>
        <v>71.193601486373879</v>
      </c>
      <c r="H74" s="1"/>
      <c r="I74" s="127">
        <f t="shared" si="17"/>
        <v>77.753818944730043</v>
      </c>
      <c r="J74" s="25">
        <f>IF(A74&gt;200,"",C74*'Adj-Gilts'!$C$6)</f>
        <v>1380.3530265593611</v>
      </c>
      <c r="K74" s="26">
        <f>IF(A74&gt;200,"",D74*'Adj-Gilts'!$C$7)</f>
        <v>0.28347260264316931</v>
      </c>
      <c r="L74" s="1">
        <f t="shared" si="12"/>
        <v>3.527677774415412</v>
      </c>
      <c r="M74" s="26">
        <f t="shared" si="13"/>
        <v>4.8694406926405049</v>
      </c>
      <c r="N74" s="30">
        <f t="shared" si="19"/>
        <v>178.48710305389369</v>
      </c>
    </row>
    <row r="75" spans="1:14" x14ac:dyDescent="0.25">
      <c r="A75" s="114">
        <f t="shared" si="14"/>
        <v>93</v>
      </c>
      <c r="B75" s="127">
        <f>IF(A75&gt;200,"",IF($C$1='Adj-Mixed'!$A$21,VLOOKUP(A75,'800'!$A$6:$AB$188,3,FALSE),IF($C$1='Adj-Mixed'!$A$20,VLOOKUP(A75,'800'!$A$6:$AB$188,12,FALSE),IF($C$1='Adj-Mixed'!$A$19,VLOOKUP(A75,'800'!$A$6:$AB$188,21,FALSE)))))</f>
        <v>48.818406295285158</v>
      </c>
      <c r="C75" s="126">
        <f t="shared" si="15"/>
        <v>882.31879630116339</v>
      </c>
      <c r="D75" s="26">
        <f t="shared" si="16"/>
        <v>0.44887084922719422</v>
      </c>
      <c r="E75" s="26">
        <f>IF(A75&gt;200,"",IF($C$1='Adj-Mixed'!$A$21,VLOOKUP(A75,'800'!$A$7:$AB$188,9,FALSE),IF($C$1='Adj-Mixed'!$A$20,VLOOKUP(A75,'800'!$A$7:$AB$188,18,FALSE),IF($C$1='Adj-Mixed'!$A$19,VLOOKUP(A75,'800'!$A$7:$AB$188,27,FALSE)))))</f>
        <v>2.2278123021837266</v>
      </c>
      <c r="F75" s="26">
        <f t="shared" si="11"/>
        <v>1.9656406688476693</v>
      </c>
      <c r="G75" s="27">
        <f t="shared" si="18"/>
        <v>73.159242155221548</v>
      </c>
      <c r="H75" s="1"/>
      <c r="I75" s="127">
        <f t="shared" si="17"/>
        <v>79.140546473559439</v>
      </c>
      <c r="J75" s="25">
        <f>IF(A75&gt;200,"",C75*'Adj-Gilts'!$C$6)</f>
        <v>1386.7275288293949</v>
      </c>
      <c r="K75" s="26">
        <f>IF(A75&gt;200,"",D75*'Adj-Gilts'!$C$7)</f>
        <v>0.28139808041492009</v>
      </c>
      <c r="L75" s="1">
        <f t="shared" si="12"/>
        <v>3.5536845117262525</v>
      </c>
      <c r="M75" s="26">
        <f t="shared" si="13"/>
        <v>4.9279921411854408</v>
      </c>
      <c r="N75" s="30">
        <f t="shared" si="19"/>
        <v>183.41509519507912</v>
      </c>
    </row>
    <row r="76" spans="1:14" x14ac:dyDescent="0.25">
      <c r="A76" s="114">
        <f t="shared" si="14"/>
        <v>94</v>
      </c>
      <c r="B76" s="127">
        <f>IF(A76&gt;200,"",IF($C$1='Adj-Mixed'!$A$21,VLOOKUP(A76,'800'!$A$6:$AB$188,3,FALSE),IF($C$1='Adj-Mixed'!$A$20,VLOOKUP(A76,'800'!$A$6:$AB$188,12,FALSE),IF($C$1='Adj-Mixed'!$A$19,VLOOKUP(A76,'800'!$A$6:$AB$188,21,FALSE)))))</f>
        <v>49.704638448313837</v>
      </c>
      <c r="C76" s="126">
        <f t="shared" si="15"/>
        <v>886.23215302867925</v>
      </c>
      <c r="D76" s="26">
        <f t="shared" si="16"/>
        <v>0.4456167525344652</v>
      </c>
      <c r="E76" s="26">
        <f>IF(A76&gt;200,"",IF($C$1='Adj-Mixed'!$A$21,VLOOKUP(A76,'800'!$A$7:$AB$188,9,FALSE),IF($C$1='Adj-Mixed'!$A$20,VLOOKUP(A76,'800'!$A$7:$AB$188,18,FALSE),IF($C$1='Adj-Mixed'!$A$19,VLOOKUP(A76,'800'!$A$7:$AB$188,27,FALSE)))))</f>
        <v>2.2440808033191195</v>
      </c>
      <c r="F76" s="26">
        <f t="shared" si="11"/>
        <v>1.9887765618958315</v>
      </c>
      <c r="G76" s="27">
        <f t="shared" si="18"/>
        <v>75.148018717117381</v>
      </c>
      <c r="H76" s="1"/>
      <c r="I76" s="127">
        <f t="shared" si="17"/>
        <v>80.533424567838566</v>
      </c>
      <c r="J76" s="25">
        <f>IF(A76&gt;200,"",C76*'Adj-Gilts'!$C$6)</f>
        <v>1392.8780942791234</v>
      </c>
      <c r="K76" s="26">
        <f>IF(A76&gt;200,"",D76*'Adj-Gilts'!$C$7)</f>
        <v>0.27935808034720572</v>
      </c>
      <c r="L76" s="1">
        <f t="shared" si="12"/>
        <v>3.5796351362277772</v>
      </c>
      <c r="M76" s="26">
        <f t="shared" si="13"/>
        <v>4.9859953667635368</v>
      </c>
      <c r="N76" s="30">
        <f t="shared" si="19"/>
        <v>188.40109056184266</v>
      </c>
    </row>
    <row r="77" spans="1:14" x14ac:dyDescent="0.25">
      <c r="A77" s="114">
        <f t="shared" si="14"/>
        <v>95</v>
      </c>
      <c r="B77" s="127">
        <f>IF(A77&gt;200,"",IF($C$1='Adj-Mixed'!$A$21,VLOOKUP(A77,'800'!$A$6:$AB$188,3,FALSE),IF($C$1='Adj-Mixed'!$A$20,VLOOKUP(A77,'800'!$A$6:$AB$188,12,FALSE),IF($C$1='Adj-Mixed'!$A$19,VLOOKUP(A77,'800'!$A$6:$AB$188,21,FALSE)))))</f>
        <v>50.594642345002939</v>
      </c>
      <c r="C77" s="126">
        <f t="shared" si="15"/>
        <v>890.00389668910179</v>
      </c>
      <c r="D77" s="26">
        <f t="shared" si="16"/>
        <v>0.44241586726438253</v>
      </c>
      <c r="E77" s="26">
        <f>IF(A77&gt;200,"",IF($C$1='Adj-Mixed'!$A$21,VLOOKUP(A77,'800'!$A$7:$AB$188,9,FALSE),IF($C$1='Adj-Mixed'!$A$20,VLOOKUP(A77,'800'!$A$7:$AB$188,18,FALSE),IF($C$1='Adj-Mixed'!$A$19,VLOOKUP(A77,'800'!$A$7:$AB$188,27,FALSE)))))</f>
        <v>2.260316760751286</v>
      </c>
      <c r="F77" s="26">
        <f t="shared" si="11"/>
        <v>2.0116907248203328</v>
      </c>
      <c r="G77" s="27">
        <f t="shared" si="18"/>
        <v>77.159709441937707</v>
      </c>
      <c r="H77" s="1"/>
      <c r="I77" s="127">
        <f t="shared" si="17"/>
        <v>81.932230656384078</v>
      </c>
      <c r="J77" s="25">
        <f>IF(A77&gt;200,"",C77*'Adj-Gilts'!$C$6)</f>
        <v>1398.8060885455068</v>
      </c>
      <c r="K77" s="26">
        <f>IF(A77&gt;200,"",D77*'Adj-Gilts'!$C$7)</f>
        <v>0.27735143863237754</v>
      </c>
      <c r="L77" s="1">
        <f t="shared" si="12"/>
        <v>3.6055338487912989</v>
      </c>
      <c r="M77" s="26">
        <f t="shared" si="13"/>
        <v>5.0434427001461835</v>
      </c>
      <c r="N77" s="30">
        <f t="shared" si="19"/>
        <v>193.44453326198885</v>
      </c>
    </row>
    <row r="78" spans="1:14" x14ac:dyDescent="0.25">
      <c r="A78" s="114">
        <f t="shared" si="14"/>
        <v>96</v>
      </c>
      <c r="B78" s="127">
        <f>IF(A78&gt;200,"",IF($C$1='Adj-Mixed'!$A$21,VLOOKUP(A78,'800'!$A$6:$AB$188,3,FALSE),IF($C$1='Adj-Mixed'!$A$20,VLOOKUP(A78,'800'!$A$6:$AB$188,12,FALSE),IF($C$1='Adj-Mixed'!$A$19,VLOOKUP(A78,'800'!$A$6:$AB$188,21,FALSE)))))</f>
        <v>51.488277284750602</v>
      </c>
      <c r="C78" s="126">
        <f t="shared" si="15"/>
        <v>893.63493974766334</v>
      </c>
      <c r="D78" s="26">
        <f t="shared" si="16"/>
        <v>0.43926640476993167</v>
      </c>
      <c r="E78" s="26">
        <f>IF(A78&gt;200,"",IF($C$1='Adj-Mixed'!$A$21,VLOOKUP(A78,'800'!$A$7:$AB$188,9,FALSE),IF($C$1='Adj-Mixed'!$A$20,VLOOKUP(A78,'800'!$A$7:$AB$188,18,FALSE),IF($C$1='Adj-Mixed'!$A$19,VLOOKUP(A78,'800'!$A$7:$AB$188,27,FALSE)))))</f>
        <v>2.2765228324796563</v>
      </c>
      <c r="F78" s="26">
        <f t="shared" si="11"/>
        <v>2.0343803442371375</v>
      </c>
      <c r="G78" s="27">
        <f t="shared" si="18"/>
        <v>79.194089786174843</v>
      </c>
      <c r="H78" s="1"/>
      <c r="I78" s="127">
        <f t="shared" si="17"/>
        <v>83.336743602120862</v>
      </c>
      <c r="J78" s="25">
        <f>IF(A78&gt;200,"",C78*'Adj-Gilts'!$C$6)</f>
        <v>1404.5129457367862</v>
      </c>
      <c r="K78" s="26">
        <f>IF(A78&gt;200,"",D78*'Adj-Gilts'!$C$7)</f>
        <v>0.27537703396385632</v>
      </c>
      <c r="L78" s="1">
        <f t="shared" si="12"/>
        <v>3.6313848893123439</v>
      </c>
      <c r="M78" s="26">
        <f t="shared" si="13"/>
        <v>5.1003270879921336</v>
      </c>
      <c r="N78" s="30">
        <f t="shared" si="19"/>
        <v>198.54486034998098</v>
      </c>
    </row>
    <row r="79" spans="1:14" x14ac:dyDescent="0.25">
      <c r="A79" s="114">
        <f t="shared" si="14"/>
        <v>97</v>
      </c>
      <c r="B79" s="127">
        <f>IF(A79&gt;200,"",IF($C$1='Adj-Mixed'!$A$21,VLOOKUP(A79,'800'!$A$6:$AB$188,3,FALSE),IF($C$1='Adj-Mixed'!$A$20,VLOOKUP(A79,'800'!$A$6:$AB$188,12,FALSE),IF($C$1='Adj-Mixed'!$A$19,VLOOKUP(A79,'800'!$A$6:$AB$188,21,FALSE)))))</f>
        <v>52.385403521533505</v>
      </c>
      <c r="C79" s="126">
        <f t="shared" si="15"/>
        <v>897.12623678290265</v>
      </c>
      <c r="D79" s="26">
        <f t="shared" si="16"/>
        <v>0.43616664171178876</v>
      </c>
      <c r="E79" s="26">
        <f>IF(A79&gt;200,"",IF($C$1='Adj-Mixed'!$A$21,VLOOKUP(A79,'800'!$A$7:$AB$188,9,FALSE),IF($C$1='Adj-Mixed'!$A$20,VLOOKUP(A79,'800'!$A$7:$AB$188,18,FALSE),IF($C$1='Adj-Mixed'!$A$19,VLOOKUP(A79,'800'!$A$7:$AB$188,27,FALSE)))))</f>
        <v>2.2927016978542398</v>
      </c>
      <c r="F79" s="26">
        <f t="shared" si="11"/>
        <v>2.0568428462617456</v>
      </c>
      <c r="G79" s="27">
        <f t="shared" si="18"/>
        <v>81.250932632436587</v>
      </c>
      <c r="H79" s="1"/>
      <c r="I79" s="127">
        <f t="shared" si="17"/>
        <v>84.746743768270932</v>
      </c>
      <c r="J79" s="25">
        <f>IF(A79&gt;200,"",C79*'Adj-Gilts'!$C$6)</f>
        <v>1410.0001661500689</v>
      </c>
      <c r="K79" s="26">
        <f>IF(A79&gt;200,"",D79*'Adj-Gilts'!$C$7)</f>
        <v>0.27343378597659168</v>
      </c>
      <c r="L79" s="1">
        <f t="shared" si="12"/>
        <v>3.6571925317437133</v>
      </c>
      <c r="M79" s="26">
        <f t="shared" si="13"/>
        <v>5.1566420774014272</v>
      </c>
      <c r="N79" s="30">
        <f t="shared" si="19"/>
        <v>203.70150242738239</v>
      </c>
    </row>
    <row r="80" spans="1:14" x14ac:dyDescent="0.25">
      <c r="A80" s="114">
        <f t="shared" si="14"/>
        <v>98</v>
      </c>
      <c r="B80" s="127">
        <f>IF(A80&gt;200,"",IF($C$1='Adj-Mixed'!$A$21,VLOOKUP(A80,'800'!$A$6:$AB$188,3,FALSE),IF($C$1='Adj-Mixed'!$A$20,VLOOKUP(A80,'800'!$A$6:$AB$188,12,FALSE),IF($C$1='Adj-Mixed'!$A$19,VLOOKUP(A80,'800'!$A$6:$AB$188,21,FALSE)))))</f>
        <v>53.285882304569014</v>
      </c>
      <c r="C80" s="126">
        <f t="shared" si="15"/>
        <v>900.47878303550988</v>
      </c>
      <c r="D80" s="26">
        <f t="shared" si="16"/>
        <v>0.43311491766678867</v>
      </c>
      <c r="E80" s="26">
        <f>IF(A80&gt;200,"",IF($C$1='Adj-Mixed'!$A$21,VLOOKUP(A80,'800'!$A$7:$AB$188,9,FALSE),IF($C$1='Adj-Mixed'!$A$20,VLOOKUP(A80,'800'!$A$7:$AB$188,18,FALSE),IF($C$1='Adj-Mixed'!$A$19,VLOOKUP(A80,'800'!$A$7:$AB$188,27,FALSE)))))</f>
        <v>2.3088560546172112</v>
      </c>
      <c r="F80" s="26">
        <f t="shared" si="11"/>
        <v>2.0790758902658748</v>
      </c>
      <c r="G80" s="27">
        <f t="shared" si="18"/>
        <v>83.330008522702457</v>
      </c>
      <c r="H80" s="1"/>
      <c r="I80" s="127">
        <f t="shared" si="17"/>
        <v>86.162013082261495</v>
      </c>
      <c r="J80" s="25">
        <f>IF(A80&gt;200,"",C80*'Adj-Gilts'!$C$6)</f>
        <v>1415.2693139905705</v>
      </c>
      <c r="K80" s="26">
        <f>IF(A80&gt;200,"",D80*'Adj-Gilts'!$C$7)</f>
        <v>0.27152065374780571</v>
      </c>
      <c r="L80" s="1">
        <f t="shared" si="12"/>
        <v>3.6829610793763843</v>
      </c>
      <c r="M80" s="26">
        <f t="shared" si="13"/>
        <v>5.2123818002629863</v>
      </c>
      <c r="N80" s="30">
        <f t="shared" si="19"/>
        <v>208.91388422764538</v>
      </c>
    </row>
    <row r="81" spans="1:14" x14ac:dyDescent="0.25">
      <c r="A81" s="114">
        <f t="shared" si="14"/>
        <v>99</v>
      </c>
      <c r="B81" s="127">
        <f>IF(A81&gt;200,"",IF($C$1='Adj-Mixed'!$A$21,VLOOKUP(A81,'800'!$A$6:$AB$188,3,FALSE),IF($C$1='Adj-Mixed'!$A$20,VLOOKUP(A81,'800'!$A$6:$AB$188,12,FALSE),IF($C$1='Adj-Mixed'!$A$19,VLOOKUP(A81,'800'!$A$6:$AB$188,21,FALSE)))))</f>
        <v>54.189575917528337</v>
      </c>
      <c r="C81" s="126">
        <f t="shared" si="15"/>
        <v>903.69361295932299</v>
      </c>
      <c r="D81" s="26">
        <f t="shared" si="16"/>
        <v>0.43010963282910419</v>
      </c>
      <c r="E81" s="26">
        <f>IF(A81&gt;200,"",IF($C$1='Adj-Mixed'!$A$21,VLOOKUP(A81,'800'!$A$7:$AB$188,9,FALSE),IF($C$1='Adj-Mixed'!$A$20,VLOOKUP(A81,'800'!$A$7:$AB$188,18,FALSE),IF($C$1='Adj-Mixed'!$A$19,VLOOKUP(A81,'800'!$A$7:$AB$188,27,FALSE)))))</f>
        <v>2.3249886160939131</v>
      </c>
      <c r="F81" s="26">
        <f t="shared" si="11"/>
        <v>2.1010773625672043</v>
      </c>
      <c r="G81" s="27">
        <f t="shared" si="18"/>
        <v>85.431085885269667</v>
      </c>
      <c r="H81" s="1"/>
      <c r="I81" s="127">
        <f t="shared" si="17"/>
        <v>87.582335097355738</v>
      </c>
      <c r="J81" s="25">
        <f>IF(A81&gt;200,"",C81*'Adj-Gilts'!$C$6)</f>
        <v>1420.3220150942366</v>
      </c>
      <c r="K81" s="26">
        <f>IF(A81&gt;200,"",D81*'Adj-Gilts'!$C$7)</f>
        <v>0.26963663435585711</v>
      </c>
      <c r="L81" s="1">
        <f t="shared" si="12"/>
        <v>3.7086948603587544</v>
      </c>
      <c r="M81" s="26">
        <f t="shared" si="13"/>
        <v>5.2675409574343846</v>
      </c>
      <c r="N81" s="30">
        <f t="shared" si="19"/>
        <v>214.18142518507977</v>
      </c>
    </row>
    <row r="82" spans="1:14" x14ac:dyDescent="0.25">
      <c r="A82" s="114">
        <f t="shared" si="14"/>
        <v>100</v>
      </c>
      <c r="B82" s="127">
        <f>IF(A82&gt;200,"",IF($C$1='Adj-Mixed'!$A$21,VLOOKUP(A82,'800'!$A$6:$AB$188,3,FALSE),IF($C$1='Adj-Mixed'!$A$20,VLOOKUP(A82,'800'!$A$6:$AB$188,12,FALSE),IF($C$1='Adj-Mixed'!$A$19,VLOOKUP(A82,'800'!$A$6:$AB$188,21,FALSE)))))</f>
        <v>55.09634771630396</v>
      </c>
      <c r="C82" s="126">
        <f t="shared" si="15"/>
        <v>906.77179877562253</v>
      </c>
      <c r="D82" s="26">
        <f t="shared" si="16"/>
        <v>0.42714924580071173</v>
      </c>
      <c r="E82" s="26">
        <f>IF(A82&gt;200,"",IF($C$1='Adj-Mixed'!$A$21,VLOOKUP(A82,'800'!$A$7:$AB$188,9,FALSE),IF($C$1='Adj-Mixed'!$A$20,VLOOKUP(A82,'800'!$A$7:$AB$188,18,FALSE),IF($C$1='Adj-Mixed'!$A$19,VLOOKUP(A82,'800'!$A$7:$AB$188,27,FALSE)))))</f>
        <v>2.3411021085275525</v>
      </c>
      <c r="F82" s="26">
        <f t="shared" si="11"/>
        <v>2.1228453700669316</v>
      </c>
      <c r="G82" s="27">
        <f t="shared" si="18"/>
        <v>87.553931255336593</v>
      </c>
      <c r="H82" s="1"/>
      <c r="I82" s="127">
        <f t="shared" si="17"/>
        <v>89.007495052011294</v>
      </c>
      <c r="J82" s="25">
        <f>IF(A82&gt;200,"",C82*'Adj-Gilts'!$C$6)</f>
        <v>1425.1599546555487</v>
      </c>
      <c r="K82" s="26">
        <f>IF(A82&gt;200,"",D82*'Adj-Gilts'!$C$7)</f>
        <v>0.26778076149507968</v>
      </c>
      <c r="L82" s="1">
        <f t="shared" si="12"/>
        <v>3.7343982234450941</v>
      </c>
      <c r="M82" s="26">
        <f t="shared" si="13"/>
        <v>5.3221148027907716</v>
      </c>
      <c r="N82" s="30">
        <f t="shared" si="19"/>
        <v>219.50353998787054</v>
      </c>
    </row>
    <row r="83" spans="1:14" x14ac:dyDescent="0.25">
      <c r="A83" s="114">
        <f t="shared" si="14"/>
        <v>101</v>
      </c>
      <c r="B83" s="127">
        <f>IF(A83&gt;200,"",IF($C$1='Adj-Mixed'!$A$21,VLOOKUP(A83,'800'!$A$6:$AB$188,3,FALSE),IF($C$1='Adj-Mixed'!$A$20,VLOOKUP(A83,'800'!$A$6:$AB$188,12,FALSE),IF($C$1='Adj-Mixed'!$A$19,VLOOKUP(A83,'800'!$A$6:$AB$188,21,FALSE)))))</f>
        <v>56.006062165336736</v>
      </c>
      <c r="C83" s="126">
        <f t="shared" si="15"/>
        <v>909.71444903277643</v>
      </c>
      <c r="D83" s="26">
        <f t="shared" si="16"/>
        <v>0.42423227146816905</v>
      </c>
      <c r="E83" s="26">
        <f>IF(A83&gt;200,"",IF($C$1='Adj-Mixed'!$A$21,VLOOKUP(A83,'800'!$A$7:$AB$188,9,FALSE),IF($C$1='Adj-Mixed'!$A$20,VLOOKUP(A83,'800'!$A$7:$AB$188,18,FALSE),IF($C$1='Adj-Mixed'!$A$19,VLOOKUP(A83,'800'!$A$7:$AB$188,27,FALSE)))))</f>
        <v>2.3571992685498278</v>
      </c>
      <c r="F83" s="26">
        <f t="shared" si="11"/>
        <v>2.1443782338492703</v>
      </c>
      <c r="G83" s="27">
        <f t="shared" si="18"/>
        <v>89.69830948918586</v>
      </c>
      <c r="H83" s="1"/>
      <c r="I83" s="127">
        <f t="shared" si="17"/>
        <v>90.437279926975037</v>
      </c>
      <c r="J83" s="25">
        <f>IF(A83&gt;200,"",C83*'Adj-Gilts'!$C$6)</f>
        <v>1429.7848749637401</v>
      </c>
      <c r="K83" s="26">
        <f>IF(A83&gt;200,"",D83*'Adj-Gilts'!$C$7)</f>
        <v>0.26595210414472981</v>
      </c>
      <c r="L83" s="1">
        <f t="shared" si="12"/>
        <v>3.7600755339608254</v>
      </c>
      <c r="M83" s="26">
        <f t="shared" si="13"/>
        <v>5.3760991271783967</v>
      </c>
      <c r="N83" s="30">
        <f t="shared" si="19"/>
        <v>224.87963911504895</v>
      </c>
    </row>
    <row r="84" spans="1:14" x14ac:dyDescent="0.25">
      <c r="A84" s="114">
        <f t="shared" si="14"/>
        <v>102</v>
      </c>
      <c r="B84" s="127">
        <f>IF(A84&gt;200,"",IF($C$1='Adj-Mixed'!$A$21,VLOOKUP(A84,'800'!$A$6:$AB$188,3,FALSE),IF($C$1='Adj-Mixed'!$A$20,VLOOKUP(A84,'800'!$A$6:$AB$188,12,FALSE),IF($C$1='Adj-Mixed'!$A$19,VLOOKUP(A84,'800'!$A$6:$AB$188,21,FALSE)))))</f>
        <v>56.918584872508781</v>
      </c>
      <c r="C84" s="126">
        <f t="shared" si="15"/>
        <v>912.52270717204453</v>
      </c>
      <c r="D84" s="26">
        <f t="shared" si="16"/>
        <v>0.42135727896217656</v>
      </c>
      <c r="E84" s="26">
        <f>IF(A84&gt;200,"",IF($C$1='Adj-Mixed'!$A$21,VLOOKUP(A84,'800'!$A$7:$AB$188,9,FALSE),IF($C$1='Adj-Mixed'!$A$20,VLOOKUP(A84,'800'!$A$7:$AB$188,18,FALSE),IF($C$1='Adj-Mixed'!$A$19,VLOOKUP(A84,'800'!$A$7:$AB$188,27,FALSE)))))</f>
        <v>2.3732828407831201</v>
      </c>
      <c r="F84" s="26">
        <f t="shared" si="11"/>
        <v>2.1656744827563732</v>
      </c>
      <c r="G84" s="27">
        <f t="shared" si="18"/>
        <v>91.863983971942233</v>
      </c>
      <c r="H84" s="1"/>
      <c r="I84" s="127">
        <f t="shared" si="17"/>
        <v>91.871478500123729</v>
      </c>
      <c r="J84" s="25">
        <f>IF(A84&gt;200,"",C84*'Adj-Gilts'!$C$6)</f>
        <v>1434.1985731486907</v>
      </c>
      <c r="K84" s="26">
        <f>IF(A84&gt;200,"",D84*'Adj-Gilts'!$C$7)</f>
        <v>0.26414976528983103</v>
      </c>
      <c r="L84" s="1">
        <f t="shared" si="12"/>
        <v>3.7857311699776739</v>
      </c>
      <c r="M84" s="26">
        <f t="shared" si="13"/>
        <v>5.4294902423065032</v>
      </c>
      <c r="N84" s="30">
        <f t="shared" si="19"/>
        <v>230.30912935735546</v>
      </c>
    </row>
    <row r="85" spans="1:14" x14ac:dyDescent="0.25">
      <c r="A85" s="114">
        <f t="shared" si="14"/>
        <v>103</v>
      </c>
      <c r="B85" s="127">
        <f>IF(A85&gt;200,"",IF($C$1='Adj-Mixed'!$A$21,VLOOKUP(A85,'800'!$A$6:$AB$188,3,FALSE),IF($C$1='Adj-Mixed'!$A$20,VLOOKUP(A85,'800'!$A$6:$AB$188,12,FALSE),IF($C$1='Adj-Mixed'!$A$19,VLOOKUP(A85,'800'!$A$6:$AB$188,21,FALSE)))))</f>
        <v>57.833782622609789</v>
      </c>
      <c r="C85" s="126">
        <f t="shared" si="15"/>
        <v>915.19775010100807</v>
      </c>
      <c r="D85" s="26">
        <f t="shared" si="16"/>
        <v>0.41852288969676876</v>
      </c>
      <c r="E85" s="26">
        <f>IF(A85&gt;200,"",IF($C$1='Adj-Mixed'!$A$21,VLOOKUP(A85,'800'!$A$7:$AB$188,9,FALSE),IF($C$1='Adj-Mixed'!$A$20,VLOOKUP(A85,'800'!$A$7:$AB$188,18,FALSE),IF($C$1='Adj-Mixed'!$A$19,VLOOKUP(A85,'800'!$A$7:$AB$188,27,FALSE)))))</f>
        <v>2.3893555755684646</v>
      </c>
      <c r="F85" s="26">
        <f t="shared" si="11"/>
        <v>2.1867328469515579</v>
      </c>
      <c r="G85" s="27">
        <f t="shared" si="18"/>
        <v>94.05071681889379</v>
      </c>
      <c r="H85" s="1"/>
      <c r="I85" s="127">
        <f t="shared" si="17"/>
        <v>93.309881399062533</v>
      </c>
      <c r="J85" s="25">
        <f>IF(A85&gt;200,"",C85*'Adj-Gilts'!$C$6)</f>
        <v>1438.402898938808</v>
      </c>
      <c r="K85" s="26">
        <f>IF(A85&gt;200,"",D85*'Adj-Gilts'!$C$7)</f>
        <v>0.26237288069193926</v>
      </c>
      <c r="L85" s="1">
        <f t="shared" si="12"/>
        <v>3.8113695186894461</v>
      </c>
      <c r="M85" s="26">
        <f t="shared" si="13"/>
        <v>5.4822849646099083</v>
      </c>
      <c r="N85" s="30">
        <f t="shared" si="19"/>
        <v>235.79141432196536</v>
      </c>
    </row>
    <row r="86" spans="1:14" x14ac:dyDescent="0.25">
      <c r="A86" s="114">
        <f t="shared" si="14"/>
        <v>104</v>
      </c>
      <c r="B86" s="127">
        <f>IF(A86&gt;200,"",IF($C$1='Adj-Mixed'!$A$21,VLOOKUP(A86,'800'!$A$6:$AB$188,3,FALSE),IF($C$1='Adj-Mixed'!$A$20,VLOOKUP(A86,'800'!$A$6:$AB$188,12,FALSE),IF($C$1='Adj-Mixed'!$A$19,VLOOKUP(A86,'800'!$A$6:$AB$188,21,FALSE)))))</f>
        <v>58.751523409385719</v>
      </c>
      <c r="C86" s="126">
        <f t="shared" si="15"/>
        <v>917.74078677593002</v>
      </c>
      <c r="D86" s="26">
        <f t="shared" si="16"/>
        <v>0.41572777548499218</v>
      </c>
      <c r="E86" s="26">
        <f>IF(A86&gt;200,"",IF($C$1='Adj-Mixed'!$A$21,VLOOKUP(A86,'800'!$A$7:$AB$188,9,FALSE),IF($C$1='Adj-Mixed'!$A$20,VLOOKUP(A86,'800'!$A$7:$AB$188,18,FALSE),IF($C$1='Adj-Mixed'!$A$19,VLOOKUP(A86,'800'!$A$7:$AB$188,27,FALSE)))))</f>
        <v>2.4054202268140252</v>
      </c>
      <c r="F86" s="26">
        <f t="shared" si="11"/>
        <v>2.2075522514830395</v>
      </c>
      <c r="G86" s="27">
        <f t="shared" si="18"/>
        <v>96.258269070376826</v>
      </c>
      <c r="H86" s="1"/>
      <c r="I86" s="127">
        <f t="shared" si="17"/>
        <v>94.752281151495481</v>
      </c>
      <c r="J86" s="25">
        <f>IF(A86&gt;200,"",C86*'Adj-Gilts'!$C$6)</f>
        <v>1442.3997524329427</v>
      </c>
      <c r="K86" s="26">
        <f>IF(A86&gt;200,"",D86*'Adj-Gilts'!$C$7)</f>
        <v>0.26062061770785694</v>
      </c>
      <c r="L86" s="1">
        <f t="shared" si="12"/>
        <v>3.8369949729800403</v>
      </c>
      <c r="M86" s="26">
        <f t="shared" si="13"/>
        <v>5.5344805991128556</v>
      </c>
      <c r="N86" s="30">
        <f t="shared" si="19"/>
        <v>241.32589492107823</v>
      </c>
    </row>
    <row r="87" spans="1:14" x14ac:dyDescent="0.25">
      <c r="A87" s="114">
        <f t="shared" si="14"/>
        <v>105</v>
      </c>
      <c r="B87" s="127">
        <f>IF(A87&gt;200,"",IF($C$1='Adj-Mixed'!$A$21,VLOOKUP(A87,'800'!$A$6:$AB$188,3,FALSE),IF($C$1='Adj-Mixed'!$A$20,VLOOKUP(A87,'800'!$A$6:$AB$188,12,FALSE),IF($C$1='Adj-Mixed'!$A$19,VLOOKUP(A87,'800'!$A$6:$AB$188,21,FALSE)))))</f>
        <v>59.671676466180024</v>
      </c>
      <c r="C87" s="126">
        <f t="shared" si="15"/>
        <v>920.15305679430526</v>
      </c>
      <c r="D87" s="26">
        <f t="shared" si="16"/>
        <v>0.41297065672798849</v>
      </c>
      <c r="E87" s="26">
        <f>IF(A87&gt;200,"",IF($C$1='Adj-Mixed'!$A$21,VLOOKUP(A87,'800'!$A$7:$AB$188,9,FALSE),IF($C$1='Adj-Mixed'!$A$20,VLOOKUP(A87,'800'!$A$7:$AB$188,18,FALSE),IF($C$1='Adj-Mixed'!$A$19,VLOOKUP(A87,'800'!$A$7:$AB$188,27,FALSE)))))</f>
        <v>2.4214795499590913</v>
      </c>
      <c r="F87" s="26">
        <f t="shared" si="11"/>
        <v>2.2281318098597569</v>
      </c>
      <c r="G87" s="27">
        <f t="shared" si="18"/>
        <v>98.486400880236587</v>
      </c>
      <c r="H87" s="1"/>
      <c r="I87" s="127">
        <f t="shared" si="17"/>
        <v>96.198472233383796</v>
      </c>
      <c r="J87" s="25">
        <f>IF(A87&gt;200,"",C87*'Adj-Gilts'!$C$6)</f>
        <v>1446.1910818883212</v>
      </c>
      <c r="K87" s="26">
        <f>IF(A87&gt;200,"",D87*'Adj-Gilts'!$C$7)</f>
        <v>0.25889217415436588</v>
      </c>
      <c r="L87" s="1">
        <f t="shared" si="12"/>
        <v>3.8626119281757219</v>
      </c>
      <c r="M87" s="26">
        <f t="shared" si="13"/>
        <v>5.5860749233231815</v>
      </c>
      <c r="N87" s="30">
        <f t="shared" si="19"/>
        <v>246.91196984440143</v>
      </c>
    </row>
    <row r="88" spans="1:14" x14ac:dyDescent="0.25">
      <c r="A88" s="114">
        <f t="shared" si="14"/>
        <v>106</v>
      </c>
      <c r="B88" s="127">
        <f>IF(A88&gt;200,"",IF($C$1='Adj-Mixed'!$A$21,VLOOKUP(A88,'800'!$A$6:$AB$188,3,FALSE),IF($C$1='Adj-Mixed'!$A$20,VLOOKUP(A88,'800'!$A$6:$AB$188,12,FALSE),IF($C$1='Adj-Mixed'!$A$19,VLOOKUP(A88,'800'!$A$6:$AB$188,21,FALSE)))))</f>
        <v>60.594112295178483</v>
      </c>
      <c r="C88" s="126">
        <f t="shared" si="15"/>
        <v>922.43582899845933</v>
      </c>
      <c r="D88" s="26">
        <f t="shared" si="16"/>
        <v>0.41025030067432294</v>
      </c>
      <c r="E88" s="26">
        <f>IF(A88&gt;200,"",IF($C$1='Adj-Mixed'!$A$21,VLOOKUP(A88,'800'!$A$7:$AB$188,9,FALSE),IF($C$1='Adj-Mixed'!$A$20,VLOOKUP(A88,'800'!$A$7:$AB$188,18,FALSE),IF($C$1='Adj-Mixed'!$A$19,VLOOKUP(A88,'800'!$A$7:$AB$188,27,FALSE)))))</f>
        <v>2.4375363000497825</v>
      </c>
      <c r="F88" s="26">
        <f t="shared" si="11"/>
        <v>2.2484708176502588</v>
      </c>
      <c r="G88" s="27">
        <f t="shared" si="18"/>
        <v>100.73487169788685</v>
      </c>
      <c r="H88" s="1"/>
      <c r="I88" s="127">
        <f t="shared" si="17"/>
        <v>97.648251114909641</v>
      </c>
      <c r="J88" s="25">
        <f>IF(A88&gt;200,"",C88*'Adj-Gilts'!$C$6)</f>
        <v>1449.7788815258418</v>
      </c>
      <c r="K88" s="26">
        <f>IF(A88&gt;200,"",D88*'Adj-Gilts'!$C$7)</f>
        <v>0.25718677721699618</v>
      </c>
      <c r="L88" s="1">
        <f t="shared" si="12"/>
        <v>3.888224778975593</v>
      </c>
      <c r="M88" s="26">
        <f t="shared" si="13"/>
        <v>5.6370661711842986</v>
      </c>
      <c r="N88" s="30">
        <f t="shared" si="19"/>
        <v>252.54903601558573</v>
      </c>
    </row>
    <row r="89" spans="1:14" x14ac:dyDescent="0.25">
      <c r="A89" s="114">
        <f t="shared" si="14"/>
        <v>107</v>
      </c>
      <c r="B89" s="127">
        <f>IF(A89&gt;200,"",IF($C$1='Adj-Mixed'!$A$21,VLOOKUP(A89,'800'!$A$6:$AB$188,3,FALSE),IF($C$1='Adj-Mixed'!$A$20,VLOOKUP(A89,'800'!$A$6:$AB$188,12,FALSE),IF($C$1='Adj-Mixed'!$A$19,VLOOKUP(A89,'800'!$A$6:$AB$188,21,FALSE)))))</f>
        <v>61.5187026952702</v>
      </c>
      <c r="C89" s="126">
        <f t="shared" si="15"/>
        <v>924.59040009171645</v>
      </c>
      <c r="D89" s="26">
        <f t="shared" si="16"/>
        <v>0.40756551974681426</v>
      </c>
      <c r="E89" s="26">
        <f>IF(A89&gt;200,"",IF($C$1='Adj-Mixed'!$A$21,VLOOKUP(A89,'800'!$A$7:$AB$188,9,FALSE),IF($C$1='Adj-Mixed'!$A$20,VLOOKUP(A89,'800'!$A$7:$AB$188,18,FALSE),IF($C$1='Adj-Mixed'!$A$19,VLOOKUP(A89,'800'!$A$7:$AB$188,27,FALSE)))))</f>
        <v>2.453593229920958</v>
      </c>
      <c r="F89" s="26">
        <f t="shared" si="11"/>
        <v>2.2685687461149455</v>
      </c>
      <c r="G89" s="27">
        <f t="shared" si="18"/>
        <v>103.0034404440018</v>
      </c>
      <c r="H89" s="1"/>
      <c r="I89" s="127">
        <f t="shared" si="17"/>
        <v>99.101416304264774</v>
      </c>
      <c r="J89" s="25">
        <f>IF(A89&gt;200,"",C89*'Adj-Gilts'!$C$6)</f>
        <v>1453.1651893551266</v>
      </c>
      <c r="K89" s="26">
        <f>IF(A89&gt;200,"",D89*'Adj-Gilts'!$C$7)</f>
        <v>0.25550368240111265</v>
      </c>
      <c r="L89" s="1">
        <f t="shared" si="12"/>
        <v>3.913837916551473</v>
      </c>
      <c r="M89" s="26">
        <f t="shared" si="13"/>
        <v>5.6874530171107951</v>
      </c>
      <c r="N89" s="30">
        <f t="shared" si="19"/>
        <v>258.23648903269651</v>
      </c>
    </row>
    <row r="90" spans="1:14" x14ac:dyDescent="0.25">
      <c r="A90" s="114">
        <f t="shared" si="14"/>
        <v>108</v>
      </c>
      <c r="B90" s="127">
        <f>IF(A90&gt;200,"",IF($C$1='Adj-Mixed'!$A$21,VLOOKUP(A90,'800'!$A$6:$AB$188,3,FALSE),IF($C$1='Adj-Mixed'!$A$20,VLOOKUP(A90,'800'!$A$6:$AB$188,12,FALSE),IF($C$1='Adj-Mixed'!$A$19,VLOOKUP(A90,'800'!$A$6:$AB$188,21,FALSE)))))</f>
        <v>62.445320788538041</v>
      </c>
      <c r="C90" s="126">
        <f t="shared" si="15"/>
        <v>926.618093267841</v>
      </c>
      <c r="D90" s="26">
        <f t="shared" si="16"/>
        <v>0.40491516993385712</v>
      </c>
      <c r="E90" s="26">
        <f>IF(A90&gt;200,"",IF($C$1='Adj-Mixed'!$A$21,VLOOKUP(A90,'800'!$A$7:$AB$188,9,FALSE),IF($C$1='Adj-Mixed'!$A$20,VLOOKUP(A90,'800'!$A$7:$AB$188,18,FALSE),IF($C$1='Adj-Mixed'!$A$19,VLOOKUP(A90,'800'!$A$7:$AB$188,27,FALSE)))))</f>
        <v>2.4696530884811008</v>
      </c>
      <c r="F90" s="26">
        <f t="shared" si="11"/>
        <v>2.2884252358813924</v>
      </c>
      <c r="G90" s="27">
        <f t="shared" si="18"/>
        <v>105.29186567988319</v>
      </c>
      <c r="H90" s="1"/>
      <c r="I90" s="127">
        <f t="shared" si="17"/>
        <v>100.5577683892852</v>
      </c>
      <c r="J90" s="25">
        <f>IF(A90&gt;200,"",C90*'Adj-Gilts'!$C$6)</f>
        <v>1456.3520850204341</v>
      </c>
      <c r="K90" s="26">
        <f>IF(A90&gt;200,"",D90*'Adj-Gilts'!$C$7)</f>
        <v>0.25384217252343133</v>
      </c>
      <c r="L90" s="1">
        <f t="shared" si="12"/>
        <v>3.9394557258120431</v>
      </c>
      <c r="M90" s="26">
        <f t="shared" si="13"/>
        <v>5.7372345601320562</v>
      </c>
      <c r="N90" s="30">
        <f t="shared" si="19"/>
        <v>263.97372359282855</v>
      </c>
    </row>
    <row r="91" spans="1:14" x14ac:dyDescent="0.25">
      <c r="A91" s="114">
        <f t="shared" si="14"/>
        <v>109</v>
      </c>
      <c r="B91" s="127">
        <f>IF(A91&gt;200,"",IF($C$1='Adj-Mixed'!$A$21,VLOOKUP(A91,'800'!$A$6:$AB$188,3,FALSE),IF($C$1='Adj-Mixed'!$A$20,VLOOKUP(A91,'800'!$A$6:$AB$188,12,FALSE),IF($C$1='Adj-Mixed'!$A$19,VLOOKUP(A91,'800'!$A$6:$AB$188,21,FALSE)))))</f>
        <v>63.373841045393142</v>
      </c>
      <c r="C91" s="126">
        <f t="shared" si="15"/>
        <v>928.52025685510148</v>
      </c>
      <c r="D91" s="26">
        <f t="shared" si="16"/>
        <v>0.4022981492426444</v>
      </c>
      <c r="E91" s="26">
        <f>IF(A91&gt;200,"",IF($C$1='Adj-Mixed'!$A$21,VLOOKUP(A91,'800'!$A$7:$AB$188,9,FALSE),IF($C$1='Adj-Mixed'!$A$20,VLOOKUP(A91,'800'!$A$7:$AB$188,18,FALSE),IF($C$1='Adj-Mixed'!$A$19,VLOOKUP(A91,'800'!$A$7:$AB$188,27,FALSE)))))</f>
        <v>2.4857186190952478</v>
      </c>
      <c r="F91" s="26">
        <f t="shared" si="11"/>
        <v>2.3080400906718279</v>
      </c>
      <c r="G91" s="27">
        <f t="shared" si="18"/>
        <v>107.59990577055501</v>
      </c>
      <c r="H91" s="1"/>
      <c r="I91" s="127">
        <f t="shared" si="17"/>
        <v>102.01711007695475</v>
      </c>
      <c r="J91" s="25">
        <f>IF(A91&gt;200,"",C91*'Adj-Gilts'!$C$6)</f>
        <v>1459.3416876695549</v>
      </c>
      <c r="K91" s="26">
        <f>IF(A91&gt;200,"",D91*'Adj-Gilts'!$C$7)</f>
        <v>0.25220155674234135</v>
      </c>
      <c r="L91" s="1">
        <f t="shared" si="12"/>
        <v>3.9650825828233796</v>
      </c>
      <c r="M91" s="26">
        <f t="shared" si="13"/>
        <v>5.7864103081666283</v>
      </c>
      <c r="N91" s="30">
        <f t="shared" si="19"/>
        <v>269.76013390099519</v>
      </c>
    </row>
    <row r="92" spans="1:14" x14ac:dyDescent="0.25">
      <c r="A92" s="114">
        <f t="shared" si="14"/>
        <v>110</v>
      </c>
      <c r="B92" s="127">
        <f>IF(A92&gt;200,"",IF($C$1='Adj-Mixed'!$A$21,VLOOKUP(A92,'800'!$A$6:$AB$188,3,FALSE),IF($C$1='Adj-Mixed'!$A$20,VLOOKUP(A92,'800'!$A$6:$AB$188,12,FALSE),IF($C$1='Adj-Mixed'!$A$19,VLOOKUP(A92,'800'!$A$6:$AB$188,21,FALSE)))))</f>
        <v>64.304139308368718</v>
      </c>
      <c r="C92" s="126">
        <f t="shared" si="15"/>
        <v>930.29826297557611</v>
      </c>
      <c r="D92" s="26">
        <f t="shared" si="16"/>
        <v>0.39971339621148844</v>
      </c>
      <c r="E92" s="26">
        <f>IF(A92&gt;200,"",IF($C$1='Adj-Mixed'!$A$21,VLOOKUP(A92,'800'!$A$7:$AB$188,9,FALSE),IF($C$1='Adj-Mixed'!$A$20,VLOOKUP(A92,'800'!$A$7:$AB$188,18,FALSE),IF($C$1='Adj-Mixed'!$A$19,VLOOKUP(A92,'800'!$A$7:$AB$188,27,FALSE)))))</f>
        <v>2.5017925580630274</v>
      </c>
      <c r="F92" s="26">
        <f t="shared" si="11"/>
        <v>2.3274132710912578</v>
      </c>
      <c r="G92" s="27">
        <f t="shared" si="18"/>
        <v>109.92731904164627</v>
      </c>
      <c r="H92" s="1"/>
      <c r="I92" s="127">
        <f t="shared" si="17"/>
        <v>103.47924623080141</v>
      </c>
      <c r="J92" s="25">
        <f>IF(A92&gt;200,"",C92*'Adj-Gilts'!$C$6)</f>
        <v>1462.1361538466617</v>
      </c>
      <c r="K92" s="26">
        <f>IF(A92&gt;200,"",D92*'Adj-Gilts'!$C$7)</f>
        <v>0.25058116962527599</v>
      </c>
      <c r="L92" s="1">
        <f t="shared" si="12"/>
        <v>3.9907228523812051</v>
      </c>
      <c r="M92" s="26">
        <f t="shared" si="13"/>
        <v>5.8349801624486348</v>
      </c>
      <c r="N92" s="30">
        <f t="shared" si="19"/>
        <v>275.59511406344382</v>
      </c>
    </row>
    <row r="93" spans="1:14" x14ac:dyDescent="0.25">
      <c r="A93" s="114">
        <f t="shared" si="14"/>
        <v>111</v>
      </c>
      <c r="B93" s="127">
        <f>IF(A93&gt;200,"",IF($C$1='Adj-Mixed'!$A$21,VLOOKUP(A93,'800'!$A$6:$AB$188,3,FALSE),IF($C$1='Adj-Mixed'!$A$20,VLOOKUP(A93,'800'!$A$6:$AB$188,12,FALSE),IF($C$1='Adj-Mixed'!$A$19,VLOOKUP(A93,'800'!$A$6:$AB$188,21,FALSE)))))</f>
        <v>65.236092814589639</v>
      </c>
      <c r="C93" s="126">
        <f t="shared" si="15"/>
        <v>931.95350622092121</v>
      </c>
      <c r="D93" s="26">
        <f t="shared" si="16"/>
        <v>0.39715988847882955</v>
      </c>
      <c r="E93" s="26">
        <f>IF(A93&gt;200,"",IF($C$1='Adj-Mixed'!$A$21,VLOOKUP(A93,'800'!$A$7:$AB$188,9,FALSE),IF($C$1='Adj-Mixed'!$A$20,VLOOKUP(A93,'800'!$A$7:$AB$188,18,FALSE),IF($C$1='Adj-Mixed'!$A$19,VLOOKUP(A93,'800'!$A$7:$AB$188,27,FALSE)))))</f>
        <v>2.5178776331872816</v>
      </c>
      <c r="F93" s="26">
        <f t="shared" si="11"/>
        <v>2.3465448884841216</v>
      </c>
      <c r="G93" s="27">
        <f t="shared" si="18"/>
        <v>112.27386393013039</v>
      </c>
      <c r="H93" s="1"/>
      <c r="I93" s="127">
        <f t="shared" si="17"/>
        <v>104.94398390621244</v>
      </c>
      <c r="J93" s="25">
        <f>IF(A93&gt;200,"",C93*'Adj-Gilts'!$C$6)</f>
        <v>1464.7376754110346</v>
      </c>
      <c r="K93" s="26">
        <f>IF(A93&gt;200,"",D93*'Adj-Gilts'!$C$7)</f>
        <v>0.24898037025162104</v>
      </c>
      <c r="L93" s="1">
        <f t="shared" si="12"/>
        <v>4.0163808857276342</v>
      </c>
      <c r="M93" s="26">
        <f t="shared" si="13"/>
        <v>5.8829444021260073</v>
      </c>
      <c r="N93" s="30">
        <f t="shared" si="19"/>
        <v>281.4780584655698</v>
      </c>
    </row>
    <row r="94" spans="1:14" x14ac:dyDescent="0.25">
      <c r="A94" s="114">
        <f t="shared" si="14"/>
        <v>112</v>
      </c>
      <c r="B94" s="127">
        <f>IF(A94&gt;200,"",IF($C$1='Adj-Mixed'!$A$21,VLOOKUP(A94,'800'!$A$6:$AB$188,3,FALSE),IF($C$1='Adj-Mixed'!$A$20,VLOOKUP(A94,'800'!$A$6:$AB$188,12,FALSE),IF($C$1='Adj-Mixed'!$A$19,VLOOKUP(A94,'800'!$A$6:$AB$188,21,FALSE)))))</f>
        <v>66.169580216934875</v>
      </c>
      <c r="C94" s="126">
        <f t="shared" si="15"/>
        <v>933.48740234523575</v>
      </c>
      <c r="D94" s="26">
        <f t="shared" si="16"/>
        <v>0.39463664140638072</v>
      </c>
      <c r="E94" s="26">
        <f>IF(A94&gt;200,"",IF($C$1='Adj-Mixed'!$A$21,VLOOKUP(A94,'800'!$A$7:$AB$188,9,FALSE),IF($C$1='Adj-Mixed'!$A$20,VLOOKUP(A94,'800'!$A$7:$AB$188,18,FALSE),IF($C$1='Adj-Mixed'!$A$19,VLOOKUP(A94,'800'!$A$7:$AB$188,27,FALSE)))))</f>
        <v>2.5339765624303516</v>
      </c>
      <c r="F94" s="26">
        <f t="shared" si="11"/>
        <v>2.3654351988668192</v>
      </c>
      <c r="G94" s="27">
        <f t="shared" si="18"/>
        <v>114.63929912899721</v>
      </c>
      <c r="H94" s="1"/>
      <c r="I94" s="127">
        <f t="shared" si="17"/>
        <v>106.41113238369509</v>
      </c>
      <c r="J94" s="25">
        <f>IF(A94&gt;200,"",C94*'Adj-Gilts'!$C$6)</f>
        <v>1467.148477482654</v>
      </c>
      <c r="K94" s="26">
        <f>IF(A94&gt;200,"",D94*'Adj-Gilts'!$C$7)</f>
        <v>0.24739854134956132</v>
      </c>
      <c r="L94" s="1">
        <f t="shared" si="12"/>
        <v>4.0420610184077512</v>
      </c>
      <c r="M94" s="26">
        <f t="shared" si="13"/>
        <v>5.9303036690489179</v>
      </c>
      <c r="N94" s="30">
        <f t="shared" si="19"/>
        <v>287.4083621346187</v>
      </c>
    </row>
    <row r="95" spans="1:14" x14ac:dyDescent="0.25">
      <c r="A95" s="114">
        <f t="shared" si="14"/>
        <v>113</v>
      </c>
      <c r="B95" s="127">
        <f>IF(A95&gt;200,"",IF($C$1='Adj-Mixed'!$A$21,VLOOKUP(A95,'800'!$A$6:$AB$188,3,FALSE),IF($C$1='Adj-Mixed'!$A$20,VLOOKUP(A95,'800'!$A$6:$AB$188,12,FALSE),IF($C$1='Adj-Mixed'!$A$19,VLOOKUP(A95,'800'!$A$6:$AB$188,21,FALSE)))))</f>
        <v>67.104481603910983</v>
      </c>
      <c r="C95" s="126">
        <f t="shared" si="15"/>
        <v>934.90138697610803</v>
      </c>
      <c r="D95" s="26">
        <f t="shared" si="16"/>
        <v>0.39214270675418211</v>
      </c>
      <c r="E95" s="26">
        <f>IF(A95&gt;200,"",IF($C$1='Adj-Mixed'!$A$21,VLOOKUP(A95,'800'!$A$7:$AB$188,9,FALSE),IF($C$1='Adj-Mixed'!$A$20,VLOOKUP(A95,'800'!$A$7:$AB$188,18,FALSE),IF($C$1='Adj-Mixed'!$A$19,VLOOKUP(A95,'800'!$A$7:$AB$188,27,FALSE)))))</f>
        <v>2.5500920526538269</v>
      </c>
      <c r="F95" s="26">
        <f t="shared" si="11"/>
        <v>2.3840845969428135</v>
      </c>
      <c r="G95" s="27">
        <f t="shared" si="18"/>
        <v>117.02338372594002</v>
      </c>
      <c r="H95" s="1"/>
      <c r="I95" s="127">
        <f t="shared" si="17"/>
        <v>107.88050320011146</v>
      </c>
      <c r="J95" s="25">
        <f>IF(A95&gt;200,"",C95*'Adj-Gilts'!$C$6)</f>
        <v>1469.3708164163731</v>
      </c>
      <c r="K95" s="26">
        <f>IF(A95&gt;200,"",D95*'Adj-Gilts'!$C$7)</f>
        <v>0.24583508846546964</v>
      </c>
      <c r="L95" s="1">
        <f t="shared" si="12"/>
        <v>4.0677675682593275</v>
      </c>
      <c r="M95" s="26">
        <f t="shared" si="13"/>
        <v>5.9770589527652529</v>
      </c>
      <c r="N95" s="30">
        <f t="shared" si="19"/>
        <v>293.38542108738397</v>
      </c>
    </row>
    <row r="96" spans="1:14" x14ac:dyDescent="0.25">
      <c r="A96" s="114">
        <f t="shared" si="14"/>
        <v>114</v>
      </c>
      <c r="B96" s="127">
        <f>IF(A96&gt;200,"",IF($C$1='Adj-Mixed'!$A$21,VLOOKUP(A96,'800'!$A$6:$AB$188,3,FALSE),IF($C$1='Adj-Mixed'!$A$20,VLOOKUP(A96,'800'!$A$6:$AB$188,12,FALSE),IF($C$1='Adj-Mixed'!$A$19,VLOOKUP(A96,'800'!$A$6:$AB$188,21,FALSE)))))</f>
        <v>68.040678518255334</v>
      </c>
      <c r="C96" s="126">
        <f t="shared" si="15"/>
        <v>936.19691434435026</v>
      </c>
      <c r="D96" s="26">
        <f t="shared" si="16"/>
        <v>0.38967717140519298</v>
      </c>
      <c r="E96" s="26">
        <f>IF(A96&gt;200,"",IF($C$1='Adj-Mixed'!$A$21,VLOOKUP(A96,'800'!$A$7:$AB$188,9,FALSE),IF($C$1='Adj-Mixed'!$A$20,VLOOKUP(A96,'800'!$A$7:$AB$188,18,FALSE),IF($C$1='Adj-Mixed'!$A$19,VLOOKUP(A96,'800'!$A$7:$AB$188,27,FALSE)))))</f>
        <v>2.5662267984392213</v>
      </c>
      <c r="F96" s="26">
        <f t="shared" si="11"/>
        <v>2.4024936102065797</v>
      </c>
      <c r="G96" s="27">
        <f t="shared" si="18"/>
        <v>119.4258773361466</v>
      </c>
      <c r="H96" s="1"/>
      <c r="I96" s="127">
        <f t="shared" si="17"/>
        <v>109.35191017791692</v>
      </c>
      <c r="J96" s="25">
        <f>IF(A96&gt;200,"",C96*'Adj-Gilts'!$C$6)</f>
        <v>1471.4069778054593</v>
      </c>
      <c r="K96" s="26">
        <f>IF(A96&gt;200,"",D96*'Adj-Gilts'!$C$7)</f>
        <v>0.24428943916435072</v>
      </c>
      <c r="L96" s="1">
        <f t="shared" si="12"/>
        <v>4.0935048335316271</v>
      </c>
      <c r="M96" s="26">
        <f t="shared" si="13"/>
        <v>6.0232115757388103</v>
      </c>
      <c r="N96" s="30">
        <f t="shared" si="19"/>
        <v>299.40863266312277</v>
      </c>
    </row>
    <row r="97" spans="1:14" x14ac:dyDescent="0.25">
      <c r="A97" s="114">
        <f t="shared" si="14"/>
        <v>115</v>
      </c>
      <c r="B97" s="127">
        <f>IF(A97&gt;200,"",IF($C$1='Adj-Mixed'!$A$21,VLOOKUP(A97,'800'!$A$6:$AB$188,3,FALSE),IF($C$1='Adj-Mixed'!$A$20,VLOOKUP(A97,'800'!$A$6:$AB$188,12,FALSE),IF($C$1='Adj-Mixed'!$A$19,VLOOKUP(A97,'800'!$A$6:$AB$188,21,FALSE)))))</f>
        <v>68.978053974288201</v>
      </c>
      <c r="C97" s="126">
        <f t="shared" si="15"/>
        <v>937.37545603286776</v>
      </c>
      <c r="D97" s="26">
        <f t="shared" si="16"/>
        <v>0.38723915613717147</v>
      </c>
      <c r="E97" s="26">
        <f>IF(A97&gt;200,"",IF($C$1='Adj-Mixed'!$A$21,VLOOKUP(A97,'800'!$A$7:$AB$188,9,FALSE),IF($C$1='Adj-Mixed'!$A$20,VLOOKUP(A97,'800'!$A$7:$AB$188,18,FALSE),IF($C$1='Adj-Mixed'!$A$19,VLOOKUP(A97,'800'!$A$7:$AB$188,27,FALSE)))))</f>
        <v>2.5823834809870587</v>
      </c>
      <c r="F97" s="26">
        <f t="shared" si="11"/>
        <v>2.4206628931419885</v>
      </c>
      <c r="G97" s="27">
        <f t="shared" si="18"/>
        <v>121.84654022928859</v>
      </c>
      <c r="H97" s="1"/>
      <c r="I97" s="127">
        <f t="shared" si="17"/>
        <v>110.82516945243214</v>
      </c>
      <c r="J97" s="25">
        <f>IF(A97&gt;200,"",C97*'Adj-Gilts'!$C$6)</f>
        <v>1473.2592745152106</v>
      </c>
      <c r="K97" s="26">
        <f>IF(A97&gt;200,"",D97*'Adj-Gilts'!$C$7)</f>
        <v>0.24276104225993006</v>
      </c>
      <c r="L97" s="1">
        <f t="shared" si="12"/>
        <v>4.1192770911292929</v>
      </c>
      <c r="M97" s="26">
        <f t="shared" si="13"/>
        <v>6.0687631788042689</v>
      </c>
      <c r="N97" s="30">
        <f t="shared" si="19"/>
        <v>305.47739584192703</v>
      </c>
    </row>
    <row r="98" spans="1:14" x14ac:dyDescent="0.25">
      <c r="A98" s="114">
        <f t="shared" si="14"/>
        <v>116</v>
      </c>
      <c r="B98" s="127">
        <f>IF(A98&gt;200,"",IF($C$1='Adj-Mixed'!$A$21,VLOOKUP(A98,'800'!$A$6:$AB$188,3,FALSE),IF($C$1='Adj-Mixed'!$A$20,VLOOKUP(A98,'800'!$A$6:$AB$188,12,FALSE),IF($C$1='Adj-Mixed'!$A$19,VLOOKUP(A98,'800'!$A$6:$AB$188,21,FALSE)))))</f>
        <v>69.916492474034939</v>
      </c>
      <c r="C98" s="126">
        <f t="shared" si="15"/>
        <v>938.43849974673788</v>
      </c>
      <c r="D98" s="26">
        <f t="shared" si="16"/>
        <v>0.38482781444035524</v>
      </c>
      <c r="E98" s="26">
        <f>IF(A98&gt;200,"",IF($C$1='Adj-Mixed'!$A$21,VLOOKUP(A98,'800'!$A$7:$AB$188,9,FALSE),IF($C$1='Adj-Mixed'!$A$20,VLOOKUP(A98,'800'!$A$7:$AB$188,18,FALSE),IF($C$1='Adj-Mixed'!$A$19,VLOOKUP(A98,'800'!$A$7:$AB$188,27,FALSE)))))</f>
        <v>2.5985647670875172</v>
      </c>
      <c r="F98" s="26">
        <f t="shared" si="11"/>
        <v>2.4385932215203412</v>
      </c>
      <c r="G98" s="27">
        <f t="shared" si="18"/>
        <v>124.28513345080893</v>
      </c>
      <c r="H98" s="1"/>
      <c r="I98" s="127">
        <f t="shared" si="17"/>
        <v>112.30009949718205</v>
      </c>
      <c r="J98" s="25">
        <f>IF(A98&gt;200,"",C98*'Adj-Gilts'!$C$6)</f>
        <v>1474.9300447499065</v>
      </c>
      <c r="K98" s="26">
        <f>IF(A98&gt;200,"",D98*'Adj-Gilts'!$C$7)</f>
        <v>0.24124936707345543</v>
      </c>
      <c r="L98" s="1">
        <f t="shared" si="12"/>
        <v>4.1450885949703684</v>
      </c>
      <c r="M98" s="26">
        <f t="shared" si="13"/>
        <v>6.1137157068719725</v>
      </c>
      <c r="N98" s="30">
        <f t="shared" si="19"/>
        <v>311.59111154879901</v>
      </c>
    </row>
    <row r="99" spans="1:14" x14ac:dyDescent="0.25">
      <c r="A99" s="114">
        <f t="shared" si="14"/>
        <v>117</v>
      </c>
      <c r="B99" s="127">
        <f>IF(A99&gt;200,"",IF($C$1='Adj-Mixed'!$A$21,VLOOKUP(A99,'800'!$A$6:$AB$188,3,FALSE),IF($C$1='Adj-Mixed'!$A$20,VLOOKUP(A99,'800'!$A$6:$AB$188,12,FALSE),IF($C$1='Adj-Mixed'!$A$19,VLOOKUP(A99,'800'!$A$6:$AB$188,21,FALSE)))))</f>
        <v>70.855880022137868</v>
      </c>
      <c r="C99" s="126">
        <f t="shared" si="15"/>
        <v>939.38754810292835</v>
      </c>
      <c r="D99" s="26">
        <f t="shared" si="16"/>
        <v>0.38244233137806971</v>
      </c>
      <c r="E99" s="26">
        <f>IF(A99&gt;200,"",IF($C$1='Adj-Mixed'!$A$21,VLOOKUP(A99,'800'!$A$7:$AB$188,9,FALSE),IF($C$1='Adj-Mixed'!$A$20,VLOOKUP(A99,'800'!$A$7:$AB$188,18,FALSE),IF($C$1='Adj-Mixed'!$A$19,VLOOKUP(A99,'800'!$A$7:$AB$188,27,FALSE)))))</f>
        <v>2.6147733081656002</v>
      </c>
      <c r="F99" s="26">
        <f t="shared" si="11"/>
        <v>2.4562854868026656</v>
      </c>
      <c r="G99" s="27">
        <f t="shared" si="18"/>
        <v>126.7414189376116</v>
      </c>
      <c r="H99" s="1"/>
      <c r="I99" s="127">
        <f t="shared" si="17"/>
        <v>113.77652114733267</v>
      </c>
      <c r="J99" s="25">
        <f>IF(A99&gt;200,"",C99*'Adj-Gilts'!$C$6)</f>
        <v>1476.4216501506264</v>
      </c>
      <c r="K99" s="26">
        <f>IF(A99&gt;200,"",D99*'Adj-Gilts'!$C$7)</f>
        <v>0.2397539027194098</v>
      </c>
      <c r="L99" s="1">
        <f t="shared" si="12"/>
        <v>4.1709435744632106</v>
      </c>
      <c r="M99" s="26">
        <f t="shared" si="13"/>
        <v>6.1580713948941259</v>
      </c>
      <c r="N99" s="30">
        <f t="shared" si="19"/>
        <v>317.74918294369314</v>
      </c>
    </row>
    <row r="100" spans="1:14" x14ac:dyDescent="0.25">
      <c r="A100" s="114">
        <f t="shared" si="14"/>
        <v>118</v>
      </c>
      <c r="B100" s="127">
        <f>IF(A100&gt;200,"",IF($C$1='Adj-Mixed'!$A$21,VLOOKUP(A100,'800'!$A$6:$AB$188,3,FALSE),IF($C$1='Adj-Mixed'!$A$20,VLOOKUP(A100,'800'!$A$6:$AB$188,12,FALSE),IF($C$1='Adj-Mixed'!$A$19,VLOOKUP(A100,'800'!$A$6:$AB$188,21,FALSE)))))</f>
        <v>71.796104139580009</v>
      </c>
      <c r="C100" s="126">
        <f t="shared" si="15"/>
        <v>940.22411744214196</v>
      </c>
      <c r="D100" s="26">
        <f t="shared" si="16"/>
        <v>0.38008192248917994</v>
      </c>
      <c r="E100" s="26">
        <f>IF(A100&gt;200,"",IF($C$1='Adj-Mixed'!$A$21,VLOOKUP(A100,'800'!$A$7:$AB$188,9,FALSE),IF($C$1='Adj-Mixed'!$A$20,VLOOKUP(A100,'800'!$A$7:$AB$188,18,FALSE),IF($C$1='Adj-Mixed'!$A$19,VLOOKUP(A100,'800'!$A$7:$AB$188,27,FALSE)))))</f>
        <v>2.6310117393927559</v>
      </c>
      <c r="F100" s="26">
        <f t="shared" si="11"/>
        <v>2.4737406906504691</v>
      </c>
      <c r="G100" s="27">
        <f t="shared" si="18"/>
        <v>129.21515962826206</v>
      </c>
      <c r="H100" s="1"/>
      <c r="I100" s="127">
        <f t="shared" si="17"/>
        <v>115.25425762126052</v>
      </c>
      <c r="J100" s="25">
        <f>IF(A100&gt;200,"",C100*'Adj-Gilts'!$C$6)</f>
        <v>1477.7364739278435</v>
      </c>
      <c r="K100" s="26">
        <f>IF(A100&gt;200,"",D100*'Adj-Gilts'!$C$7)</f>
        <v>0.23827415741745614</v>
      </c>
      <c r="L100" s="1">
        <f t="shared" si="12"/>
        <v>4.1968462330893939</v>
      </c>
      <c r="M100" s="26">
        <f t="shared" si="13"/>
        <v>6.2018327541028722</v>
      </c>
      <c r="N100" s="30">
        <f t="shared" si="19"/>
        <v>323.95101569779604</v>
      </c>
    </row>
    <row r="101" spans="1:14" x14ac:dyDescent="0.25">
      <c r="A101" s="114">
        <f t="shared" si="14"/>
        <v>119</v>
      </c>
      <c r="B101" s="127">
        <f>IF(A101&gt;200,"",IF($C$1='Adj-Mixed'!$A$21,VLOOKUP(A101,'800'!$A$6:$AB$188,3,FALSE),IF($C$1='Adj-Mixed'!$A$20,VLOOKUP(A101,'800'!$A$6:$AB$188,12,FALSE),IF($C$1='Adj-Mixed'!$A$19,VLOOKUP(A101,'800'!$A$6:$AB$188,21,FALSE)))))</f>
        <v>72.7370538762423</v>
      </c>
      <c r="C101" s="126">
        <f t="shared" si="15"/>
        <v>940.94973666229009</v>
      </c>
      <c r="D101" s="26">
        <f t="shared" si="16"/>
        <v>0.3777458327301717</v>
      </c>
      <c r="E101" s="26">
        <f>IF(A101&gt;200,"",IF($C$1='Adj-Mixed'!$A$21,VLOOKUP(A101,'800'!$A$7:$AB$188,9,FALSE),IF($C$1='Adj-Mixed'!$A$20,VLOOKUP(A101,'800'!$A$7:$AB$188,18,FALSE),IF($C$1='Adj-Mixed'!$A$19,VLOOKUP(A101,'800'!$A$7:$AB$188,27,FALSE)))))</f>
        <v>2.6472826788649493</v>
      </c>
      <c r="F101" s="26">
        <f t="shared" si="11"/>
        <v>2.4909599395486155</v>
      </c>
      <c r="G101" s="27">
        <f t="shared" si="18"/>
        <v>131.70611956781067</v>
      </c>
      <c r="H101" s="1"/>
      <c r="I101" s="127">
        <f t="shared" si="17"/>
        <v>116.73313454028853</v>
      </c>
      <c r="J101" s="25">
        <f>IF(A101&gt;200,"",C101*'Adj-Gilts'!$C$6)</f>
        <v>1478.8769190280107</v>
      </c>
      <c r="K101" s="26">
        <f>IF(A101&gt;200,"",D101*'Adj-Gilts'!$C$7)</f>
        <v>0.23680965782922569</v>
      </c>
      <c r="L101" s="1">
        <f t="shared" si="12"/>
        <v>4.2228007470926121</v>
      </c>
      <c r="M101" s="26">
        <f t="shared" si="13"/>
        <v>6.245002558529503</v>
      </c>
      <c r="N101" s="30">
        <f t="shared" si="19"/>
        <v>330.19601825632554</v>
      </c>
    </row>
    <row r="102" spans="1:14" x14ac:dyDescent="0.25">
      <c r="A102" s="114">
        <f t="shared" si="14"/>
        <v>120</v>
      </c>
      <c r="B102" s="127">
        <f>IF(A102&gt;200,"",IF($C$1='Adj-Mixed'!$A$21,VLOOKUP(A102,'800'!$A$6:$AB$188,3,FALSE),IF($C$1='Adj-Mixed'!$A$20,VLOOKUP(A102,'800'!$A$6:$AB$188,12,FALSE),IF($C$1='Adj-Mixed'!$A$19,VLOOKUP(A102,'800'!$A$6:$AB$188,21,FALSE)))))</f>
        <v>73.678619822316946</v>
      </c>
      <c r="C102" s="126">
        <f t="shared" si="15"/>
        <v>941.56594607464683</v>
      </c>
      <c r="D102" s="26">
        <f t="shared" si="16"/>
        <v>0.37543333545538349</v>
      </c>
      <c r="E102" s="26">
        <f>IF(A102&gt;200,"",IF($C$1='Adj-Mixed'!$A$21,VLOOKUP(A102,'800'!$A$7:$AB$188,9,FALSE),IF($C$1='Adj-Mixed'!$A$20,VLOOKUP(A102,'800'!$A$7:$AB$188,18,FALSE),IF($C$1='Adj-Mixed'!$A$19,VLOOKUP(A102,'800'!$A$7:$AB$188,27,FALSE)))))</f>
        <v>2.663588726842931</v>
      </c>
      <c r="F102" s="26">
        <f t="shared" si="11"/>
        <v>2.5079444395436283</v>
      </c>
      <c r="G102" s="27">
        <f t="shared" si="18"/>
        <v>134.2140640073543</v>
      </c>
      <c r="H102" s="1"/>
      <c r="I102" s="127">
        <f t="shared" si="17"/>
        <v>118.21297994662433</v>
      </c>
      <c r="J102" s="25">
        <f>IF(A102&gt;200,"",C102*'Adj-Gilts'!$C$6)</f>
        <v>1479.845406335797</v>
      </c>
      <c r="K102" s="26">
        <f>IF(A102&gt;200,"",D102*'Adj-Gilts'!$C$7)</f>
        <v>0.23535994841902344</v>
      </c>
      <c r="L102" s="1">
        <f t="shared" si="12"/>
        <v>4.2488112642668003</v>
      </c>
      <c r="M102" s="26">
        <f t="shared" si="13"/>
        <v>6.2875838318130146</v>
      </c>
      <c r="N102" s="30">
        <f t="shared" si="19"/>
        <v>336.48360208813858</v>
      </c>
    </row>
    <row r="103" spans="1:14" x14ac:dyDescent="0.25">
      <c r="A103" s="114">
        <f t="shared" si="14"/>
        <v>121</v>
      </c>
      <c r="B103" s="127">
        <f>IF(A103&gt;200,"",IF($C$1='Adj-Mixed'!$A$21,VLOOKUP(A103,'800'!$A$6:$AB$188,3,FALSE),IF($C$1='Adj-Mixed'!$A$20,VLOOKUP(A103,'800'!$A$6:$AB$188,12,FALSE),IF($C$1='Adj-Mixed'!$A$19,VLOOKUP(A103,'800'!$A$6:$AB$188,21,FALSE)))))</f>
        <v>74.620694118599445</v>
      </c>
      <c r="C103" s="126">
        <f t="shared" si="15"/>
        <v>942.07429628249884</v>
      </c>
      <c r="D103" s="26">
        <f t="shared" si="16"/>
        <v>0.37314373143351354</v>
      </c>
      <c r="E103" s="26">
        <f>IF(A103&gt;200,"",IF($C$1='Adj-Mixed'!$A$21,VLOOKUP(A103,'800'!$A$7:$AB$188,9,FALSE),IF($C$1='Adj-Mixed'!$A$20,VLOOKUP(A103,'800'!$A$7:$AB$188,18,FALSE),IF($C$1='Adj-Mixed'!$A$19,VLOOKUP(A103,'800'!$A$7:$AB$188,27,FALSE)))))</f>
        <v>2.6799324650538292</v>
      </c>
      <c r="F103" s="26">
        <f t="shared" si="11"/>
        <v>2.5246954911002084</v>
      </c>
      <c r="G103" s="27">
        <f t="shared" si="18"/>
        <v>136.7387594984545</v>
      </c>
      <c r="H103" s="1"/>
      <c r="I103" s="127">
        <f t="shared" si="17"/>
        <v>119.693624319536</v>
      </c>
      <c r="J103" s="25">
        <f>IF(A103&gt;200,"",C103*'Adj-Gilts'!$C$6)</f>
        <v>1480.6443729116759</v>
      </c>
      <c r="K103" s="26">
        <f>IF(A103&gt;200,"",D103*'Adj-Gilts'!$C$7)</f>
        <v>0.23392459083727418</v>
      </c>
      <c r="L103" s="1">
        <f t="shared" si="12"/>
        <v>4.2748819028420728</v>
      </c>
      <c r="M103" s="26">
        <f t="shared" si="13"/>
        <v>6.3295798343050729</v>
      </c>
      <c r="N103" s="30">
        <f t="shared" si="19"/>
        <v>342.81318192244368</v>
      </c>
    </row>
    <row r="104" spans="1:14" x14ac:dyDescent="0.25">
      <c r="A104" s="114">
        <f t="shared" si="14"/>
        <v>122</v>
      </c>
      <c r="B104" s="127">
        <f>IF(A104&gt;200,"",IF($C$1='Adj-Mixed'!$A$21,VLOOKUP(A104,'800'!$A$6:$AB$188,3,FALSE),IF($C$1='Adj-Mixed'!$A$20,VLOOKUP(A104,'800'!$A$6:$AB$188,12,FALSE),IF($C$1='Adj-Mixed'!$A$19,VLOOKUP(A104,'800'!$A$6:$AB$188,21,FALSE)))))</f>
        <v>75.563170465682632</v>
      </c>
      <c r="C104" s="126">
        <f t="shared" si="15"/>
        <v>942.47634708318628</v>
      </c>
      <c r="D104" s="26">
        <f t="shared" si="16"/>
        <v>0.37087634789905599</v>
      </c>
      <c r="E104" s="26">
        <f>IF(A104&gt;200,"",IF($C$1='Adj-Mixed'!$A$21,VLOOKUP(A104,'800'!$A$7:$AB$188,9,FALSE),IF($C$1='Adj-Mixed'!$A$20,VLOOKUP(A104,'800'!$A$7:$AB$188,18,FALSE),IF($C$1='Adj-Mixed'!$A$19,VLOOKUP(A104,'800'!$A$7:$AB$188,27,FALSE)))))</f>
        <v>2.6963164560501363</v>
      </c>
      <c r="F104" s="26">
        <f t="shared" si="11"/>
        <v>2.5412144840784148</v>
      </c>
      <c r="G104" s="27">
        <f t="shared" si="18"/>
        <v>139.27997398253291</v>
      </c>
      <c r="H104" s="1"/>
      <c r="I104" s="127">
        <f t="shared" si="17"/>
        <v>121.17490058980228</v>
      </c>
      <c r="J104" s="25">
        <f>IF(A104&gt;200,"",C104*'Adj-Gilts'!$C$6)</f>
        <v>1481.2762702662812</v>
      </c>
      <c r="K104" s="26">
        <f>IF(A104&gt;200,"",D104*'Adj-Gilts'!$C$7)</f>
        <v>0.23250316332586587</v>
      </c>
      <c r="L104" s="1">
        <f t="shared" si="12"/>
        <v>4.3010167504622094</v>
      </c>
      <c r="M104" s="26">
        <f t="shared" si="13"/>
        <v>6.3709940504774618</v>
      </c>
      <c r="N104" s="30">
        <f t="shared" si="19"/>
        <v>349.18417597292114</v>
      </c>
    </row>
    <row r="105" spans="1:14" x14ac:dyDescent="0.25">
      <c r="A105" s="114">
        <f t="shared" si="14"/>
        <v>123</v>
      </c>
      <c r="B105" s="127">
        <f>IF(A105&gt;200,"",IF($C$1='Adj-Mixed'!$A$21,VLOOKUP(A105,'800'!$A$6:$AB$188,3,FALSE),IF($C$1='Adj-Mixed'!$A$20,VLOOKUP(A105,'800'!$A$6:$AB$188,12,FALSE),IF($C$1='Adj-Mixed'!$A$19,VLOOKUP(A105,'800'!$A$6:$AB$188,21,FALSE)))))</f>
        <v>76.505944132076706</v>
      </c>
      <c r="C105" s="126">
        <f t="shared" si="15"/>
        <v>942.77366639407489</v>
      </c>
      <c r="D105" s="26">
        <f t="shared" si="16"/>
        <v>0.36863053763726128</v>
      </c>
      <c r="E105" s="26">
        <f>IF(A105&gt;200,"",IF($C$1='Adj-Mixed'!$A$21,VLOOKUP(A105,'800'!$A$7:$AB$188,9,FALSE),IF($C$1='Adj-Mixed'!$A$20,VLOOKUP(A105,'800'!$A$7:$AB$188,18,FALSE),IF($C$1='Adj-Mixed'!$A$19,VLOOKUP(A105,'800'!$A$7:$AB$188,27,FALSE)))))</f>
        <v>2.7127432426230977</v>
      </c>
      <c r="F105" s="26">
        <f t="shared" si="11"/>
        <v>2.5575028928335293</v>
      </c>
      <c r="G105" s="27">
        <f t="shared" si="18"/>
        <v>141.83747687536643</v>
      </c>
      <c r="H105" s="1"/>
      <c r="I105" s="127">
        <f t="shared" si="17"/>
        <v>122.65664415247466</v>
      </c>
      <c r="J105" s="25">
        <f>IF(A105&gt;200,"",C105*'Adj-Gilts'!$C$6)</f>
        <v>1481.7435626723709</v>
      </c>
      <c r="K105" s="26">
        <f>IF(A105&gt;200,"",D105*'Adj-Gilts'!$C$7)</f>
        <v>0.23109526014450937</v>
      </c>
      <c r="L105" s="1">
        <f t="shared" si="12"/>
        <v>4.3272198632489314</v>
      </c>
      <c r="M105" s="26">
        <f t="shared" si="13"/>
        <v>6.4118301766371211</v>
      </c>
      <c r="N105" s="30">
        <f t="shared" si="19"/>
        <v>355.59600614955826</v>
      </c>
    </row>
    <row r="106" spans="1:14" x14ac:dyDescent="0.25">
      <c r="A106" s="114">
        <f t="shared" si="14"/>
        <v>124</v>
      </c>
      <c r="B106" s="127">
        <f>IF(A106&gt;200,"",IF($C$1='Adj-Mixed'!$A$21,VLOOKUP(A106,'800'!$A$6:$AB$188,3,FALSE),IF($C$1='Adj-Mixed'!$A$20,VLOOKUP(A106,'800'!$A$6:$AB$188,12,FALSE),IF($C$1='Adj-Mixed'!$A$19,VLOOKUP(A106,'800'!$A$6:$AB$188,21,FALSE)))))</f>
        <v>77.448911961278696</v>
      </c>
      <c r="C106" s="126">
        <f t="shared" si="15"/>
        <v>942.96782920199007</v>
      </c>
      <c r="D106" s="26">
        <f t="shared" si="16"/>
        <v>0.36640567810091257</v>
      </c>
      <c r="E106" s="26">
        <f>IF(A106&gt;200,"",IF($C$1='Adj-Mixed'!$A$21,VLOOKUP(A106,'800'!$A$7:$AB$188,9,FALSE),IF($C$1='Adj-Mixed'!$A$20,VLOOKUP(A106,'800'!$A$7:$AB$188,18,FALSE),IF($C$1='Adj-Mixed'!$A$19,VLOOKUP(A106,'800'!$A$7:$AB$188,27,FALSE)))))</f>
        <v>2.7292153472703222</v>
      </c>
      <c r="F106" s="26">
        <f t="shared" si="11"/>
        <v>2.5735622714402511</v>
      </c>
      <c r="G106" s="27">
        <f t="shared" si="18"/>
        <v>144.41103914680667</v>
      </c>
      <c r="H106" s="1"/>
      <c r="I106" s="127">
        <f t="shared" si="17"/>
        <v>124.13869287798832</v>
      </c>
      <c r="J106" s="25">
        <f>IF(A106&gt;200,"",C106*'Adj-Gilts'!$C$6)</f>
        <v>1482.04872551367</v>
      </c>
      <c r="K106" s="26">
        <f>IF(A106&gt;200,"",D106*'Adj-Gilts'!$C$7)</f>
        <v>0.22970049101704376</v>
      </c>
      <c r="L106" s="1">
        <f t="shared" si="12"/>
        <v>4.3534952649526559</v>
      </c>
      <c r="M106" s="26">
        <f t="shared" si="13"/>
        <v>6.4520921089528809</v>
      </c>
      <c r="N106" s="30">
        <f t="shared" si="19"/>
        <v>362.04809825851112</v>
      </c>
    </row>
    <row r="107" spans="1:14" x14ac:dyDescent="0.25">
      <c r="A107" s="114">
        <f t="shared" si="14"/>
        <v>125</v>
      </c>
      <c r="B107" s="127">
        <f>IF(A107&gt;200,"",IF($C$1='Adj-Mixed'!$A$21,VLOOKUP(A107,'800'!$A$6:$AB$188,3,FALSE),IF($C$1='Adj-Mixed'!$A$20,VLOOKUP(A107,'800'!$A$6:$AB$188,12,FALSE),IF($C$1='Adj-Mixed'!$A$19,VLOOKUP(A107,'800'!$A$6:$AB$188,21,FALSE)))))</f>
        <v>78.39197237781579</v>
      </c>
      <c r="C107" s="126">
        <f t="shared" si="15"/>
        <v>943.06041653709372</v>
      </c>
      <c r="D107" s="26">
        <f t="shared" si="16"/>
        <v>0.36420117055785972</v>
      </c>
      <c r="E107" s="26">
        <f>IF(A107&gt;200,"",IF($C$1='Adj-Mixed'!$A$21,VLOOKUP(A107,'800'!$A$7:$AB$188,9,FALSE),IF($C$1='Adj-Mixed'!$A$20,VLOOKUP(A107,'800'!$A$7:$AB$188,18,FALSE),IF($C$1='Adj-Mixed'!$A$19,VLOOKUP(A107,'800'!$A$7:$AB$188,27,FALSE)))))</f>
        <v>2.7457352717133361</v>
      </c>
      <c r="F107" s="26">
        <f t="shared" si="11"/>
        <v>2.5893942490425688</v>
      </c>
      <c r="G107" s="27">
        <f t="shared" si="18"/>
        <v>147.00043339584923</v>
      </c>
      <c r="H107" s="1"/>
      <c r="I107" s="127">
        <f t="shared" si="17"/>
        <v>125.62088712166045</v>
      </c>
      <c r="J107" s="25">
        <f>IF(A107&gt;200,"",C107*'Adj-Gilts'!$C$6)</f>
        <v>1482.1942436721263</v>
      </c>
      <c r="K107" s="26">
        <f>IF(A107&gt;200,"",D107*'Adj-Gilts'!$C$7)</f>
        <v>0.22831848059702359</v>
      </c>
      <c r="L107" s="1">
        <f t="shared" si="12"/>
        <v>4.379846946182929</v>
      </c>
      <c r="M107" s="26">
        <f t="shared" si="13"/>
        <v>6.4917839317972774</v>
      </c>
      <c r="N107" s="30">
        <f t="shared" si="19"/>
        <v>368.53988219030839</v>
      </c>
    </row>
    <row r="108" spans="1:14" x14ac:dyDescent="0.25">
      <c r="A108" s="114">
        <f t="shared" si="14"/>
        <v>126</v>
      </c>
      <c r="B108" s="127">
        <f>IF(A108&gt;200,"",IF($C$1='Adj-Mixed'!$A$21,VLOOKUP(A108,'800'!$A$6:$AB$188,3,FALSE),IF($C$1='Adj-Mixed'!$A$20,VLOOKUP(A108,'800'!$A$6:$AB$188,12,FALSE),IF($C$1='Adj-Mixed'!$A$19,VLOOKUP(A108,'800'!$A$6:$AB$188,21,FALSE)))))</f>
        <v>79.335025392287008</v>
      </c>
      <c r="C108" s="126">
        <f t="shared" si="15"/>
        <v>943.05301447121792</v>
      </c>
      <c r="D108" s="26">
        <f t="shared" si="16"/>
        <v>0.3620164392679619</v>
      </c>
      <c r="E108" s="26">
        <f>IF(A108&gt;200,"",IF($C$1='Adj-Mixed'!$A$21,VLOOKUP(A108,'800'!$A$7:$AB$188,9,FALSE),IF($C$1='Adj-Mixed'!$A$20,VLOOKUP(A108,'800'!$A$7:$AB$188,18,FALSE),IF($C$1='Adj-Mixed'!$A$19,VLOOKUP(A108,'800'!$A$7:$AB$188,27,FALSE)))))</f>
        <v>2.7623054964634006</v>
      </c>
      <c r="F108" s="26">
        <f t="shared" si="11"/>
        <v>2.6050005253302242</v>
      </c>
      <c r="G108" s="27">
        <f t="shared" si="18"/>
        <v>149.60543392117944</v>
      </c>
      <c r="H108" s="1"/>
      <c r="I108" s="127">
        <f t="shared" si="17"/>
        <v>127.10306973161406</v>
      </c>
      <c r="J108" s="25">
        <f>IF(A108&gt;200,"",C108*'Adj-Gilts'!$C$6)</f>
        <v>1482.1826099536074</v>
      </c>
      <c r="K108" s="26">
        <f>IF(A108&gt;200,"",D108*'Adj-Gilts'!$C$7)</f>
        <v>0.22694886795174243</v>
      </c>
      <c r="L108" s="1">
        <f t="shared" si="12"/>
        <v>4.4062788637158405</v>
      </c>
      <c r="M108" s="26">
        <f t="shared" si="13"/>
        <v>6.5309099064057605</v>
      </c>
      <c r="N108" s="30">
        <f t="shared" si="19"/>
        <v>375.07079209671417</v>
      </c>
    </row>
    <row r="109" spans="1:14" x14ac:dyDescent="0.25">
      <c r="A109" s="114">
        <f t="shared" si="14"/>
        <v>127</v>
      </c>
      <c r="B109" s="127">
        <f>IF(A109&gt;200,"",IF($C$1='Adj-Mixed'!$A$21,VLOOKUP(A109,'800'!$A$6:$AB$188,3,FALSE),IF($C$1='Adj-Mixed'!$A$20,VLOOKUP(A109,'800'!$A$6:$AB$188,12,FALSE),IF($C$1='Adj-Mixed'!$A$19,VLOOKUP(A109,'800'!$A$6:$AB$188,21,FALSE)))))</f>
        <v>80.27797260542782</v>
      </c>
      <c r="C109" s="126">
        <f t="shared" si="15"/>
        <v>942.94721314081187</v>
      </c>
      <c r="D109" s="26">
        <f t="shared" si="16"/>
        <v>0.35985093068821106</v>
      </c>
      <c r="E109" s="26">
        <f>IF(A109&gt;200,"",IF($C$1='Adj-Mixed'!$A$21,VLOOKUP(A109,'800'!$A$7:$AB$188,9,FALSE),IF($C$1='Adj-Mixed'!$A$20,VLOOKUP(A109,'800'!$A$7:$AB$188,18,FALSE),IF($C$1='Adj-Mixed'!$A$19,VLOOKUP(A109,'800'!$A$7:$AB$188,27,FALSE)))))</f>
        <v>2.7789284804335805</v>
      </c>
      <c r="F109" s="26">
        <f t="shared" si="11"/>
        <v>2.6203828661424757</v>
      </c>
      <c r="G109" s="27">
        <f t="shared" si="18"/>
        <v>152.22581678732192</v>
      </c>
      <c r="H109" s="1"/>
      <c r="I109" s="127">
        <f t="shared" si="17"/>
        <v>128.58508605516633</v>
      </c>
      <c r="J109" s="25">
        <f>IF(A109&gt;200,"",C109*'Adj-Gilts'!$C$6)</f>
        <v>1482.0163235522796</v>
      </c>
      <c r="K109" s="26">
        <f>IF(A109&gt;200,"",D109*'Adj-Gilts'!$C$7)</f>
        <v>0.22559130606392311</v>
      </c>
      <c r="L109" s="1">
        <f t="shared" si="12"/>
        <v>4.432794939875218</v>
      </c>
      <c r="M109" s="26">
        <f t="shared" si="13"/>
        <v>6.5694744598550194</v>
      </c>
      <c r="N109" s="30">
        <f t="shared" si="19"/>
        <v>381.6402665565692</v>
      </c>
    </row>
    <row r="110" spans="1:14" x14ac:dyDescent="0.25">
      <c r="A110" s="114">
        <f t="shared" si="14"/>
        <v>128</v>
      </c>
      <c r="B110" s="127">
        <f>IF(A110&gt;200,"",IF($C$1='Adj-Mixed'!$A$21,VLOOKUP(A110,'800'!$A$6:$AB$188,3,FALSE),IF($C$1='Adj-Mixed'!$A$20,VLOOKUP(A110,'800'!$A$6:$AB$188,12,FALSE),IF($C$1='Adj-Mixed'!$A$19,VLOOKUP(A110,'800'!$A$6:$AB$188,21,FALSE)))))</f>
        <v>81.220717211222407</v>
      </c>
      <c r="C110" s="126">
        <f t="shared" si="15"/>
        <v>942.74460579458719</v>
      </c>
      <c r="D110" s="26">
        <f t="shared" si="16"/>
        <v>0.35770411270486491</v>
      </c>
      <c r="E110" s="26">
        <f>IF(A110&gt;200,"",IF($C$1='Adj-Mixed'!$A$21,VLOOKUP(A110,'800'!$A$7:$AB$188,9,FALSE),IF($C$1='Adj-Mixed'!$A$20,VLOOKUP(A110,'800'!$A$7:$AB$188,18,FALSE),IF($C$1='Adj-Mixed'!$A$19,VLOOKUP(A110,'800'!$A$7:$AB$188,27,FALSE)))))</f>
        <v>2.7956066605951539</v>
      </c>
      <c r="F110" s="26">
        <f t="shared" si="11"/>
        <v>2.6355430991995008</v>
      </c>
      <c r="G110" s="27">
        <f t="shared" si="18"/>
        <v>154.86135988652143</v>
      </c>
      <c r="H110" s="1"/>
      <c r="I110" s="127">
        <f t="shared" si="17"/>
        <v>130.06678394372014</v>
      </c>
      <c r="J110" s="25">
        <f>IF(A110&gt;200,"",C110*'Adj-Gilts'!$C$6)</f>
        <v>1481.6978885538065</v>
      </c>
      <c r="K110" s="26">
        <f>IF(A110&gt;200,"",D110*'Adj-Gilts'!$C$7)</f>
        <v>0.22424546135034032</v>
      </c>
      <c r="L110" s="1">
        <f t="shared" si="12"/>
        <v>4.4593990619845485</v>
      </c>
      <c r="M110" s="26">
        <f t="shared" si="13"/>
        <v>6.6074821743613317</v>
      </c>
      <c r="N110" s="30">
        <f t="shared" si="19"/>
        <v>388.24774873093054</v>
      </c>
    </row>
    <row r="111" spans="1:14" x14ac:dyDescent="0.25">
      <c r="A111" s="114">
        <f t="shared" si="14"/>
        <v>129</v>
      </c>
      <c r="B111" s="127">
        <f>IF(A111&gt;200,"",IF($C$1='Adj-Mixed'!$A$21,VLOOKUP(A111,'800'!$A$6:$AB$188,3,FALSE),IF($C$1='Adj-Mixed'!$A$20,VLOOKUP(A111,'800'!$A$6:$AB$188,12,FALSE),IF($C$1='Adj-Mixed'!$A$19,VLOOKUP(A111,'800'!$A$6:$AB$188,21,FALSE)))))</f>
        <v>82.163163999088738</v>
      </c>
      <c r="C111" s="126">
        <f t="shared" si="15"/>
        <v>942.44678786633074</v>
      </c>
      <c r="D111" s="26">
        <f t="shared" si="16"/>
        <v>0.35557547389163296</v>
      </c>
      <c r="E111" s="26">
        <f>IF(A111&gt;200,"",IF($C$1='Adj-Mixed'!$A$21,VLOOKUP(A111,'800'!$A$7:$AB$188,9,FALSE),IF($C$1='Adj-Mixed'!$A$20,VLOOKUP(A111,'800'!$A$7:$AB$188,18,FALSE),IF($C$1='Adj-Mixed'!$A$19,VLOOKUP(A111,'800'!$A$7:$AB$188,27,FALSE)))))</f>
        <v>2.8123424516752951</v>
      </c>
      <c r="F111" s="26">
        <f t="shared" si="11"/>
        <v>2.6504831099615034</v>
      </c>
      <c r="G111" s="27">
        <f t="shared" si="18"/>
        <v>157.51184299648293</v>
      </c>
      <c r="H111" s="1"/>
      <c r="I111" s="127">
        <f t="shared" si="17"/>
        <v>131.54801375619823</v>
      </c>
      <c r="J111" s="25">
        <f>IF(A111&gt;200,"",C111*'Adj-Gilts'!$C$6)</f>
        <v>1481.229812478103</v>
      </c>
      <c r="K111" s="26">
        <f>IF(A111&gt;200,"",D111*'Adj-Gilts'!$C$7)</f>
        <v>0.22291101319677584</v>
      </c>
      <c r="L111" s="1">
        <f t="shared" si="12"/>
        <v>4.4860950818847378</v>
      </c>
      <c r="M111" s="26">
        <f t="shared" si="13"/>
        <v>6.6449377768990701</v>
      </c>
      <c r="N111" s="30">
        <f t="shared" si="19"/>
        <v>394.89268650782958</v>
      </c>
    </row>
    <row r="112" spans="1:14" x14ac:dyDescent="0.25">
      <c r="A112" s="114">
        <f t="shared" si="14"/>
        <v>130</v>
      </c>
      <c r="B112" s="127">
        <f>IF(A112&gt;200,"",IF($C$1='Adj-Mixed'!$A$21,VLOOKUP(A112,'800'!$A$6:$AB$188,3,FALSE),IF($C$1='Adj-Mixed'!$A$20,VLOOKUP(A112,'800'!$A$6:$AB$188,12,FALSE),IF($C$1='Adj-Mixed'!$A$19,VLOOKUP(A112,'800'!$A$6:$AB$188,21,FALSE)))))</f>
        <v>83.105219355161182</v>
      </c>
      <c r="C112" s="126">
        <f t="shared" si="15"/>
        <v>942.05535607244428</v>
      </c>
      <c r="D112" s="26">
        <f t="shared" si="16"/>
        <v>0.35346452279267349</v>
      </c>
      <c r="E112" s="26">
        <f>IF(A112&gt;200,"",IF($C$1='Adj-Mixed'!$A$21,VLOOKUP(A112,'800'!$A$7:$AB$188,9,FALSE),IF($C$1='Adj-Mixed'!$A$20,VLOOKUP(A112,'800'!$A$7:$AB$188,18,FALSE),IF($C$1='Adj-Mixed'!$A$19,VLOOKUP(A112,'800'!$A$7:$AB$188,27,FALSE)))))</f>
        <v>2.8291382458956296</v>
      </c>
      <c r="F112" s="26">
        <f t="shared" si="11"/>
        <v>2.6652048376153776</v>
      </c>
      <c r="G112" s="27">
        <f t="shared" si="18"/>
        <v>160.17704783409832</v>
      </c>
      <c r="H112" s="1"/>
      <c r="I112" s="127">
        <f t="shared" si="17"/>
        <v>133.02862836105919</v>
      </c>
      <c r="J112" s="25">
        <f>IF(A112&gt;200,"",C112*'Adj-Gilts'!$C$6)</f>
        <v>1480.6146048609503</v>
      </c>
      <c r="K112" s="26">
        <f>IF(A112&gt;200,"",D112*'Adj-Gilts'!$C$7)</f>
        <v>0.22158765350852772</v>
      </c>
      <c r="L112" s="1">
        <f t="shared" si="12"/>
        <v>4.5128868155170725</v>
      </c>
      <c r="M112" s="26">
        <f t="shared" si="13"/>
        <v>6.6818461291390019</v>
      </c>
      <c r="N112" s="30">
        <f t="shared" si="19"/>
        <v>401.57453263696857</v>
      </c>
    </row>
    <row r="113" spans="1:14" x14ac:dyDescent="0.25">
      <c r="A113" s="114">
        <f t="shared" si="14"/>
        <v>131</v>
      </c>
      <c r="B113" s="127">
        <f>IF(A113&gt;200,"",IF($C$1='Adj-Mixed'!$A$21,VLOOKUP(A113,'800'!$A$6:$AB$188,3,FALSE),IF($C$1='Adj-Mixed'!$A$20,VLOOKUP(A113,'800'!$A$6:$AB$188,12,FALSE),IF($C$1='Adj-Mixed'!$A$19,VLOOKUP(A113,'800'!$A$6:$AB$188,21,FALSE)))))</f>
        <v>84.046791262695791</v>
      </c>
      <c r="C113" s="126">
        <f t="shared" si="15"/>
        <v>941.57190753460895</v>
      </c>
      <c r="D113" s="26">
        <f t="shared" si="16"/>
        <v>0.35137078722955384</v>
      </c>
      <c r="E113" s="26">
        <f>IF(A113&gt;200,"",IF($C$1='Adj-Mixed'!$A$21,VLOOKUP(A113,'800'!$A$7:$AB$188,9,FALSE),IF($C$1='Adj-Mixed'!$A$20,VLOOKUP(A113,'800'!$A$7:$AB$188,18,FALSE),IF($C$1='Adj-Mixed'!$A$19,VLOOKUP(A113,'800'!$A$7:$AB$188,27,FALSE)))))</f>
        <v>2.8459964127487085</v>
      </c>
      <c r="F113" s="26">
        <f t="shared" si="11"/>
        <v>2.6797102711884557</v>
      </c>
      <c r="G113" s="27">
        <f t="shared" si="18"/>
        <v>162.85675810528679</v>
      </c>
      <c r="H113" s="1"/>
      <c r="I113" s="127">
        <f t="shared" si="17"/>
        <v>134.5084831369343</v>
      </c>
      <c r="J113" s="25">
        <f>IF(A113&gt;200,"",C113*'Adj-Gilts'!$C$6)</f>
        <v>1479.854775875102</v>
      </c>
      <c r="K113" s="26">
        <f>IF(A113&gt;200,"",D113*'Adj-Gilts'!$C$7)</f>
        <v>0.22027508627594247</v>
      </c>
      <c r="L113" s="1">
        <f t="shared" si="12"/>
        <v>4.5397780425666587</v>
      </c>
      <c r="M113" s="26">
        <f t="shared" si="13"/>
        <v>6.7182122177051919</v>
      </c>
      <c r="N113" s="30">
        <f t="shared" si="19"/>
        <v>408.29274485467374</v>
      </c>
    </row>
    <row r="114" spans="1:14" x14ac:dyDescent="0.25">
      <c r="A114" s="114">
        <f t="shared" si="14"/>
        <v>132</v>
      </c>
      <c r="B114" s="127">
        <f>IF(A114&gt;200,"",IF($C$1='Adj-Mixed'!$A$21,VLOOKUP(A114,'800'!$A$6:$AB$188,3,FALSE),IF($C$1='Adj-Mixed'!$A$20,VLOOKUP(A114,'800'!$A$6:$AB$188,12,FALSE),IF($C$1='Adj-Mixed'!$A$19,VLOOKUP(A114,'800'!$A$6:$AB$188,21,FALSE)))))</f>
        <v>84.987789301623764</v>
      </c>
      <c r="C114" s="126">
        <f t="shared" si="15"/>
        <v>940.9980389279724</v>
      </c>
      <c r="D114" s="26">
        <f t="shared" si="16"/>
        <v>0.34929381363137213</v>
      </c>
      <c r="E114" s="26">
        <f>IF(A114&gt;200,"",IF($C$1='Adj-Mixed'!$A$21,VLOOKUP(A114,'800'!$A$7:$AB$188,9,FALSE),IF($C$1='Adj-Mixed'!$A$20,VLOOKUP(A114,'800'!$A$7:$AB$188,18,FALSE),IF($C$1='Adj-Mixed'!$A$19,VLOOKUP(A114,'800'!$A$7:$AB$188,27,FALSE)))))</f>
        <v>2.8629192988094312</v>
      </c>
      <c r="F114" s="26">
        <f t="shared" si="11"/>
        <v>2.6940014457887207</v>
      </c>
      <c r="G114" s="27">
        <f t="shared" si="18"/>
        <v>165.55075955107552</v>
      </c>
      <c r="H114" s="1"/>
      <c r="I114" s="127">
        <f t="shared" si="17"/>
        <v>135.98743597192581</v>
      </c>
      <c r="J114" s="25">
        <f>IF(A114&gt;200,"",C114*'Adj-Gilts'!$C$6)</f>
        <v>1478.9528349915006</v>
      </c>
      <c r="K114" s="26">
        <f>IF(A114&gt;200,"",D114*'Adj-Gilts'!$C$7)</f>
        <v>0.21897302715446681</v>
      </c>
      <c r="L114" s="1">
        <f t="shared" si="12"/>
        <v>4.566772506161616</v>
      </c>
      <c r="M114" s="26">
        <f t="shared" si="13"/>
        <v>6.7540411447489621</v>
      </c>
      <c r="N114" s="30">
        <f t="shared" si="19"/>
        <v>415.0467859994227</v>
      </c>
    </row>
    <row r="115" spans="1:14" x14ac:dyDescent="0.25">
      <c r="A115" s="114">
        <f t="shared" si="14"/>
        <v>133</v>
      </c>
      <c r="B115" s="127">
        <f>IF(A115&gt;200,"",IF($C$1='Adj-Mixed'!$A$21,VLOOKUP(A115,'800'!$A$6:$AB$188,3,FALSE),IF($C$1='Adj-Mixed'!$A$20,VLOOKUP(A115,'800'!$A$6:$AB$188,12,FALSE),IF($C$1='Adj-Mixed'!$A$19,VLOOKUP(A115,'800'!$A$6:$AB$188,21,FALSE)))))</f>
        <v>85.928124647277372</v>
      </c>
      <c r="C115" s="126">
        <f t="shared" si="15"/>
        <v>940.3353456536081</v>
      </c>
      <c r="D115" s="26">
        <f t="shared" si="16"/>
        <v>0.34723316638668666</v>
      </c>
      <c r="E115" s="26">
        <f>IF(A115&gt;200,"",IF($C$1='Adj-Mixed'!$A$21,VLOOKUP(A115,'800'!$A$7:$AB$188,9,FALSE),IF($C$1='Adj-Mixed'!$A$20,VLOOKUP(A115,'800'!$A$7:$AB$188,18,FALSE),IF($C$1='Adj-Mixed'!$A$19,VLOOKUP(A115,'800'!$A$7:$AB$188,27,FALSE)))))</f>
        <v>2.8799092275833393</v>
      </c>
      <c r="F115" s="26">
        <f t="shared" si="11"/>
        <v>2.7080804389705948</v>
      </c>
      <c r="G115" s="27">
        <f t="shared" si="18"/>
        <v>168.25883999004611</v>
      </c>
      <c r="H115" s="1"/>
      <c r="I115" s="127">
        <f t="shared" si="17"/>
        <v>137.46534726160445</v>
      </c>
      <c r="J115" s="25">
        <f>IF(A115&gt;200,"",C115*'Adj-Gilts'!$C$6)</f>
        <v>1477.911289678646</v>
      </c>
      <c r="K115" s="26">
        <f>IF(A115&gt;200,"",D115*'Adj-Gilts'!$C$7)</f>
        <v>0.21768120305837077</v>
      </c>
      <c r="L115" s="1">
        <f t="shared" si="12"/>
        <v>4.5938739126310875</v>
      </c>
      <c r="M115" s="26">
        <f t="shared" si="13"/>
        <v>6.7893381188376978</v>
      </c>
      <c r="N115" s="30">
        <f t="shared" si="19"/>
        <v>421.83612411826039</v>
      </c>
    </row>
    <row r="116" spans="1:14" x14ac:dyDescent="0.25">
      <c r="A116" s="114">
        <f t="shared" si="14"/>
        <v>134</v>
      </c>
      <c r="B116" s="127">
        <f>IF(A116&gt;200,"",IF($C$1='Adj-Mixed'!$A$21,VLOOKUP(A116,'800'!$A$6:$AB$188,3,FALSE),IF($C$1='Adj-Mixed'!$A$20,VLOOKUP(A116,'800'!$A$6:$AB$188,12,FALSE),IF($C$1='Adj-Mixed'!$A$19,VLOOKUP(A116,'800'!$A$6:$AB$188,21,FALSE)))))</f>
        <v>86.867710068314182</v>
      </c>
      <c r="C116" s="126">
        <f t="shared" si="15"/>
        <v>939.58542103680998</v>
      </c>
      <c r="D116" s="26">
        <f t="shared" si="16"/>
        <v>0.34518842721700921</v>
      </c>
      <c r="E116" s="26">
        <f>IF(A116&gt;200,"",IF($C$1='Adj-Mixed'!$A$21,VLOOKUP(A116,'800'!$A$7:$AB$188,9,FALSE),IF($C$1='Adj-Mixed'!$A$20,VLOOKUP(A116,'800'!$A$7:$AB$188,18,FALSE),IF($C$1='Adj-Mixed'!$A$19,VLOOKUP(A116,'800'!$A$7:$AB$188,27,FALSE)))))</f>
        <v>2.8969684993852103</v>
      </c>
      <c r="F116" s="26">
        <f t="shared" si="11"/>
        <v>2.7219493672252284</v>
      </c>
      <c r="G116" s="27">
        <f t="shared" si="18"/>
        <v>170.98078935727133</v>
      </c>
      <c r="H116" s="1"/>
      <c r="I116" s="127">
        <f t="shared" si="17"/>
        <v>138.94207990574702</v>
      </c>
      <c r="J116" s="25">
        <f>IF(A116&gt;200,"",C116*'Adj-Gilts'!$C$6)</f>
        <v>1476.7326441425648</v>
      </c>
      <c r="K116" s="26">
        <f>IF(A116&gt;200,"",D116*'Adj-Gilts'!$C$7)</f>
        <v>0.21639935176798944</v>
      </c>
      <c r="L116" s="1">
        <f t="shared" si="12"/>
        <v>4.6210859313115726</v>
      </c>
      <c r="M116" s="26">
        <f t="shared" si="13"/>
        <v>6.8241084461557442</v>
      </c>
      <c r="N116" s="30">
        <f t="shared" si="19"/>
        <v>428.66023256441611</v>
      </c>
    </row>
    <row r="117" spans="1:14" x14ac:dyDescent="0.25">
      <c r="A117" s="114">
        <f t="shared" si="14"/>
        <v>135</v>
      </c>
      <c r="B117" s="127">
        <f>IF(A117&gt;200,"",IF($C$1='Adj-Mixed'!$A$21,VLOOKUP(A117,'800'!$A$6:$AB$188,3,FALSE),IF($C$1='Adj-Mixed'!$A$20,VLOOKUP(A117,'800'!$A$6:$AB$188,12,FALSE),IF($C$1='Adj-Mixed'!$A$19,VLOOKUP(A117,'800'!$A$6:$AB$188,21,FALSE)))))</f>
        <v>87.806459923864125</v>
      </c>
      <c r="C117" s="126">
        <f t="shared" si="15"/>
        <v>938.74985554994339</v>
      </c>
      <c r="D117" s="26">
        <f t="shared" si="16"/>
        <v>0.34315919457059735</v>
      </c>
      <c r="E117" s="26">
        <f>IF(A117&gt;200,"",IF($C$1='Adj-Mixed'!$A$21,VLOOKUP(A117,'800'!$A$7:$AB$188,9,FALSE),IF($C$1='Adj-Mixed'!$A$20,VLOOKUP(A117,'800'!$A$7:$AB$188,18,FALSE),IF($C$1='Adj-Mixed'!$A$19,VLOOKUP(A117,'800'!$A$7:$AB$188,27,FALSE)))))</f>
        <v>2.9140993912499473</v>
      </c>
      <c r="F117" s="26">
        <f t="shared" si="11"/>
        <v>2.7356103825940661</v>
      </c>
      <c r="G117" s="27">
        <f t="shared" si="18"/>
        <v>173.71639973986541</v>
      </c>
      <c r="H117" s="1"/>
      <c r="I117" s="127">
        <f t="shared" si="17"/>
        <v>140.4174993038524</v>
      </c>
      <c r="J117" s="25">
        <f>IF(A117&gt;200,"",C117*'Adj-Gilts'!$C$6)</f>
        <v>1475.4193981053784</v>
      </c>
      <c r="K117" s="26">
        <f>IF(A117&gt;200,"",D117*'Adj-Gilts'!$C$7)</f>
        <v>0.21512722154969013</v>
      </c>
      <c r="L117" s="1">
        <f t="shared" si="12"/>
        <v>4.6484121944047878</v>
      </c>
      <c r="M117" s="26">
        <f t="shared" si="13"/>
        <v>6.8583575220144128</v>
      </c>
      <c r="N117" s="30">
        <f t="shared" si="19"/>
        <v>435.51859008643049</v>
      </c>
    </row>
    <row r="118" spans="1:14" x14ac:dyDescent="0.25">
      <c r="A118" s="114">
        <f t="shared" si="14"/>
        <v>136</v>
      </c>
      <c r="B118" s="127">
        <f>IF(A118&gt;200,"",IF($C$1='Adj-Mixed'!$A$21,VLOOKUP(A118,'800'!$A$6:$AB$188,3,FALSE),IF($C$1='Adj-Mixed'!$A$20,VLOOKUP(A118,'800'!$A$6:$AB$188,12,FALSE),IF($C$1='Adj-Mixed'!$A$19,VLOOKUP(A118,'800'!$A$6:$AB$188,21,FALSE)))))</f>
        <v>88.744290159924304</v>
      </c>
      <c r="C118" s="126">
        <f t="shared" si="15"/>
        <v>937.83023606017935</v>
      </c>
      <c r="D118" s="26">
        <f t="shared" si="16"/>
        <v>0.34114508303594698</v>
      </c>
      <c r="E118" s="26">
        <f>IF(A118&gt;200,"",IF($C$1='Adj-Mixed'!$A$21,VLOOKUP(A118,'800'!$A$7:$AB$188,9,FALSE),IF($C$1='Adj-Mixed'!$A$20,VLOOKUP(A118,'800'!$A$7:$AB$188,18,FALSE),IF($C$1='Adj-Mixed'!$A$19,VLOOKUP(A118,'800'!$A$7:$AB$188,27,FALSE)))))</f>
        <v>2.9313041568728355</v>
      </c>
      <c r="F118" s="26">
        <f t="shared" si="11"/>
        <v>2.7490656694042364</v>
      </c>
      <c r="G118" s="27">
        <f t="shared" si="18"/>
        <v>176.46546540926965</v>
      </c>
      <c r="H118" s="1"/>
      <c r="I118" s="127">
        <f t="shared" si="17"/>
        <v>141.89147334947538</v>
      </c>
      <c r="J118" s="25">
        <f>IF(A118&gt;200,"",C118*'Adj-Gilts'!$C$6)</f>
        <v>1473.9740456229763</v>
      </c>
      <c r="K118" s="26">
        <f>IF(A118&gt;200,"",D118*'Adj-Gilts'!$C$7)</f>
        <v>0.21386457078818949</v>
      </c>
      <c r="L118" s="1">
        <f t="shared" si="12"/>
        <v>4.6758562968823645</v>
      </c>
      <c r="M118" s="26">
        <f t="shared" si="13"/>
        <v>6.8920908226673667</v>
      </c>
      <c r="N118" s="30">
        <f t="shared" si="19"/>
        <v>442.41068090909783</v>
      </c>
    </row>
    <row r="119" spans="1:14" x14ac:dyDescent="0.25">
      <c r="A119" s="114">
        <f t="shared" si="14"/>
        <v>137</v>
      </c>
      <c r="B119" s="127">
        <f>IF(A119&gt;200,"",IF($C$1='Adj-Mixed'!$A$21,VLOOKUP(A119,'800'!$A$6:$AB$188,3,FALSE),IF($C$1='Adj-Mixed'!$A$20,VLOOKUP(A119,'800'!$A$6:$AB$188,12,FALSE),IF($C$1='Adj-Mixed'!$A$19,VLOOKUP(A119,'800'!$A$6:$AB$188,21,FALSE)))))</f>
        <v>89.681118305026459</v>
      </c>
      <c r="C119" s="126">
        <f t="shared" si="15"/>
        <v>936.82814510215451</v>
      </c>
      <c r="D119" s="26">
        <f t="shared" si="16"/>
        <v>0.3391457227743076</v>
      </c>
      <c r="E119" s="26">
        <f>IF(A119&gt;200,"",IF($C$1='Adj-Mixed'!$A$21,VLOOKUP(A119,'800'!$A$7:$AB$188,9,FALSE),IF($C$1='Adj-Mixed'!$A$20,VLOOKUP(A119,'800'!$A$7:$AB$188,18,FALSE),IF($C$1='Adj-Mixed'!$A$19,VLOOKUP(A119,'800'!$A$7:$AB$188,27,FALSE)))))</f>
        <v>2.948585026577125</v>
      </c>
      <c r="F119" s="26">
        <f t="shared" si="11"/>
        <v>2.7623174411242348</v>
      </c>
      <c r="G119" s="27">
        <f t="shared" si="18"/>
        <v>179.22778285039388</v>
      </c>
      <c r="H119" s="1"/>
      <c r="I119" s="127">
        <f t="shared" si="17"/>
        <v>143.36387242341723</v>
      </c>
      <c r="J119" s="25">
        <f>IF(A119&gt;200,"",C119*'Adj-Gilts'!$C$6)</f>
        <v>1472.3990739418678</v>
      </c>
      <c r="K119" s="26">
        <f>IF(A119&gt;200,"",D119*'Adj-Gilts'!$C$7)</f>
        <v>0.21261116763079616</v>
      </c>
      <c r="L119" s="1">
        <f t="shared" si="12"/>
        <v>4.7034217964341432</v>
      </c>
      <c r="M119" s="26">
        <f t="shared" si="13"/>
        <v>6.9253138974276283</v>
      </c>
      <c r="N119" s="30">
        <f t="shared" si="19"/>
        <v>449.33599480652549</v>
      </c>
    </row>
    <row r="120" spans="1:14" x14ac:dyDescent="0.25">
      <c r="A120" s="114">
        <f t="shared" si="14"/>
        <v>138</v>
      </c>
      <c r="B120" s="127">
        <f>IF(A120&gt;200,"",IF($C$1='Adj-Mixed'!$A$21,VLOOKUP(A120,'800'!$A$6:$AB$188,3,FALSE),IF($C$1='Adj-Mixed'!$A$20,VLOOKUP(A120,'800'!$A$6:$AB$188,12,FALSE),IF($C$1='Adj-Mixed'!$A$19,VLOOKUP(A120,'800'!$A$6:$AB$188,21,FALSE)))))</f>
        <v>90.61686346520159</v>
      </c>
      <c r="C120" s="126">
        <f t="shared" si="15"/>
        <v>935.74516017513076</v>
      </c>
      <c r="D120" s="26">
        <f t="shared" si="16"/>
        <v>0.33716075897043107</v>
      </c>
      <c r="E120" s="26">
        <f>IF(A120&gt;200,"",IF($C$1='Adj-Mixed'!$A$21,VLOOKUP(A120,'800'!$A$7:$AB$188,9,FALSE),IF($C$1='Adj-Mixed'!$A$20,VLOOKUP(A120,'800'!$A$7:$AB$188,18,FALSE),IF($C$1='Adj-Mixed'!$A$19,VLOOKUP(A120,'800'!$A$7:$AB$188,27,FALSE)))))</f>
        <v>2.9659442073082407</v>
      </c>
      <c r="F120" s="26">
        <f t="shared" si="11"/>
        <v>2.7753679373381512</v>
      </c>
      <c r="G120" s="27">
        <f t="shared" si="18"/>
        <v>182.00315078773204</v>
      </c>
      <c r="H120" s="1"/>
      <c r="I120" s="127">
        <f t="shared" si="17"/>
        <v>144.83456938581176</v>
      </c>
      <c r="J120" s="25">
        <f>IF(A120&gt;200,"",C120*'Adj-Gilts'!$C$6)</f>
        <v>1470.6969623945372</v>
      </c>
      <c r="K120" s="26">
        <f>IF(A120&gt;200,"",D120*'Adj-Gilts'!$C$7)</f>
        <v>0.21136678964308406</v>
      </c>
      <c r="L120" s="1">
        <f t="shared" si="12"/>
        <v>4.7311122134589327</v>
      </c>
      <c r="M120" s="26">
        <f t="shared" si="13"/>
        <v>6.9580323610817469</v>
      </c>
      <c r="N120" s="30">
        <f t="shared" si="19"/>
        <v>456.29402716760723</v>
      </c>
    </row>
    <row r="121" spans="1:14" x14ac:dyDescent="0.25">
      <c r="A121" s="114">
        <f t="shared" si="14"/>
        <v>139</v>
      </c>
      <c r="B121" s="127">
        <f>IF(A121&gt;200,"",IF($C$1='Adj-Mixed'!$A$21,VLOOKUP(A121,'800'!$A$6:$AB$188,3,FALSE),IF($C$1='Adj-Mixed'!$A$20,VLOOKUP(A121,'800'!$A$6:$AB$188,12,FALSE),IF($C$1='Adj-Mixed'!$A$19,VLOOKUP(A121,'800'!$A$6:$AB$188,21,FALSE)))))</f>
        <v>91.551446318266315</v>
      </c>
      <c r="C121" s="126">
        <f t="shared" si="15"/>
        <v>934.58285306472533</v>
      </c>
      <c r="D121" s="26">
        <f t="shared" si="16"/>
        <v>0.33518985130097667</v>
      </c>
      <c r="E121" s="26">
        <f>IF(A121&gt;200,"",IF($C$1='Adj-Mixed'!$A$21,VLOOKUP(A121,'800'!$A$7:$AB$188,9,FALSE),IF($C$1='Adj-Mixed'!$A$20,VLOOKUP(A121,'800'!$A$7:$AB$188,18,FALSE),IF($C$1='Adj-Mixed'!$A$19,VLOOKUP(A121,'800'!$A$7:$AB$188,27,FALSE)))))</f>
        <v>2.9833838826524346</v>
      </c>
      <c r="F121" s="26">
        <f t="shared" si="11"/>
        <v>2.7882194208366298</v>
      </c>
      <c r="G121" s="27">
        <f t="shared" si="18"/>
        <v>184.79137020856868</v>
      </c>
      <c r="H121" s="1"/>
      <c r="I121" s="127">
        <f t="shared" si="17"/>
        <v>146.30343956714518</v>
      </c>
      <c r="J121" s="25">
        <f>IF(A121&gt;200,"",C121*'Adj-Gilts'!$C$6)</f>
        <v>1468.8701813334169</v>
      </c>
      <c r="K121" s="26">
        <f>IF(A121&gt;200,"",D121*'Adj-Gilts'!$C$7)</f>
        <v>0.21013122347563443</v>
      </c>
      <c r="L121" s="1">
        <f t="shared" si="12"/>
        <v>4.7589310310942636</v>
      </c>
      <c r="M121" s="26">
        <f t="shared" si="13"/>
        <v>6.9902518865966545</v>
      </c>
      <c r="N121" s="30">
        <f t="shared" si="19"/>
        <v>463.28427905420386</v>
      </c>
    </row>
    <row r="122" spans="1:14" x14ac:dyDescent="0.25">
      <c r="A122" s="114">
        <f t="shared" si="14"/>
        <v>140</v>
      </c>
      <c r="B122" s="127">
        <f>IF(A122&gt;200,"",IF($C$1='Adj-Mixed'!$A$21,VLOOKUP(A122,'800'!$A$6:$AB$188,3,FALSE),IF($C$1='Adj-Mixed'!$A$20,VLOOKUP(A122,'800'!$A$6:$AB$188,12,FALSE),IF($C$1='Adj-Mixed'!$A$19,VLOOKUP(A122,'800'!$A$6:$AB$188,21,FALSE)))))</f>
        <v>92.484789107454986</v>
      </c>
      <c r="C122" s="126">
        <f t="shared" si="15"/>
        <v>933.34278918867142</v>
      </c>
      <c r="D122" s="26">
        <f t="shared" si="16"/>
        <v>0.33323267341981933</v>
      </c>
      <c r="E122" s="26">
        <f>IF(A122&gt;200,"",IF($C$1='Adj-Mixed'!$A$21,VLOOKUP(A122,'800'!$A$7:$AB$188,9,FALSE),IF($C$1='Adj-Mixed'!$A$20,VLOOKUP(A122,'800'!$A$7:$AB$188,18,FALSE),IF($C$1='Adj-Mixed'!$A$19,VLOOKUP(A122,'800'!$A$7:$AB$188,27,FALSE)))))</f>
        <v>3.0009062128795563</v>
      </c>
      <c r="F122" s="26">
        <f t="shared" si="11"/>
        <v>2.800874174822618</v>
      </c>
      <c r="G122" s="27">
        <f t="shared" si="18"/>
        <v>187.59224438339129</v>
      </c>
      <c r="H122" s="1"/>
      <c r="I122" s="127">
        <f t="shared" si="17"/>
        <v>147.77036075824782</v>
      </c>
      <c r="J122" s="25">
        <f>IF(A122&gt;200,"",C122*'Adj-Gilts'!$C$6)</f>
        <v>1466.9211911026298</v>
      </c>
      <c r="K122" s="26">
        <f>IF(A122&gt;200,"",D122*'Adj-Gilts'!$C$7)</f>
        <v>0.20890426454137434</v>
      </c>
      <c r="L122" s="1">
        <f t="shared" si="12"/>
        <v>4.7868816952846167</v>
      </c>
      <c r="M122" s="26">
        <f t="shared" si="13"/>
        <v>7.0219781981142857</v>
      </c>
      <c r="N122" s="30">
        <f t="shared" si="19"/>
        <v>470.30625725231818</v>
      </c>
    </row>
    <row r="123" spans="1:14" x14ac:dyDescent="0.25">
      <c r="A123" s="114">
        <f t="shared" si="14"/>
        <v>141</v>
      </c>
      <c r="B123" s="127">
        <f>IF(A123&gt;200,"",IF($C$1='Adj-Mixed'!$A$21,VLOOKUP(A123,'800'!$A$6:$AB$188,3,FALSE),IF($C$1='Adj-Mixed'!$A$20,VLOOKUP(A123,'800'!$A$6:$AB$188,12,FALSE),IF($C$1='Adj-Mixed'!$A$19,VLOOKUP(A123,'800'!$A$6:$AB$188,21,FALSE)))))</f>
        <v>93.416815634421766</v>
      </c>
      <c r="C123" s="126">
        <f t="shared" si="15"/>
        <v>932.02652696678001</v>
      </c>
      <c r="D123" s="26">
        <f t="shared" si="16"/>
        <v>0.33128891245980391</v>
      </c>
      <c r="E123" s="26">
        <f>IF(A123&gt;200,"",IF($C$1='Adj-Mixed'!$A$21,VLOOKUP(A123,'800'!$A$7:$AB$188,9,FALSE),IF($C$1='Adj-Mixed'!$A$20,VLOOKUP(A123,'800'!$A$7:$AB$188,18,FALSE),IF($C$1='Adj-Mixed'!$A$19,VLOOKUP(A123,'800'!$A$7:$AB$188,27,FALSE)))))</f>
        <v>3.0185133350073476</v>
      </c>
      <c r="F123" s="26">
        <f t="shared" si="11"/>
        <v>2.8133345002298107</v>
      </c>
      <c r="G123" s="27">
        <f t="shared" si="18"/>
        <v>190.4055788836211</v>
      </c>
      <c r="H123" s="1"/>
      <c r="I123" s="127">
        <f t="shared" si="17"/>
        <v>149.23521319929557</v>
      </c>
      <c r="J123" s="25">
        <f>IF(A123&gt;200,"",C123*'Adj-Gilts'!$C$6)</f>
        <v>1464.8524410477664</v>
      </c>
      <c r="K123" s="26">
        <f>IF(A123&gt;200,"",D123*'Adj-Gilts'!$C$7)</f>
        <v>0.20768571670322555</v>
      </c>
      <c r="L123" s="1">
        <f t="shared" si="12"/>
        <v>4.8149676148839804</v>
      </c>
      <c r="M123" s="26">
        <f t="shared" si="13"/>
        <v>7.0532170642287397</v>
      </c>
      <c r="N123" s="30">
        <f t="shared" si="19"/>
        <v>477.35947431654694</v>
      </c>
    </row>
    <row r="124" spans="1:14" x14ac:dyDescent="0.25">
      <c r="A124" s="114">
        <f t="shared" si="14"/>
        <v>142</v>
      </c>
      <c r="B124" s="127">
        <f>IF(A124&gt;200,"",IF($C$1='Adj-Mixed'!$A$21,VLOOKUP(A124,'800'!$A$6:$AB$188,3,FALSE),IF($C$1='Adj-Mixed'!$A$20,VLOOKUP(A124,'800'!$A$6:$AB$188,12,FALSE),IF($C$1='Adj-Mixed'!$A$19,VLOOKUP(A124,'800'!$A$6:$AB$188,21,FALSE)))))</f>
        <v>94.347451251636642</v>
      </c>
      <c r="C124" s="126">
        <f t="shared" si="15"/>
        <v>930.63561721487531</v>
      </c>
      <c r="D124" s="26">
        <f t="shared" si="16"/>
        <v>0.32935826855037204</v>
      </c>
      <c r="E124" s="26">
        <f>IF(A124&gt;200,"",IF($C$1='Adj-Mixed'!$A$21,VLOOKUP(A124,'800'!$A$7:$AB$188,9,FALSE),IF($C$1='Adj-Mixed'!$A$20,VLOOKUP(A124,'800'!$A$7:$AB$188,18,FALSE),IF($C$1='Adj-Mixed'!$A$19,VLOOKUP(A124,'800'!$A$7:$AB$188,27,FALSE)))))</f>
        <v>3.0362073628859267</v>
      </c>
      <c r="F124" s="26">
        <f t="shared" si="11"/>
        <v>2.8256027131516936</v>
      </c>
      <c r="G124" s="27">
        <f t="shared" si="18"/>
        <v>193.23118159677279</v>
      </c>
      <c r="H124" s="1"/>
      <c r="I124" s="127">
        <f t="shared" si="17"/>
        <v>150.69787956785891</v>
      </c>
      <c r="J124" s="25">
        <f>IF(A124&gt;200,"",C124*'Adj-Gilts'!$C$6)</f>
        <v>1462.6663685633432</v>
      </c>
      <c r="K124" s="26">
        <f>IF(A124&gt;200,"",D124*'Adj-Gilts'!$C$7)</f>
        <v>0.20647539197170373</v>
      </c>
      <c r="L124" s="1">
        <f t="shared" si="12"/>
        <v>4.8431921617906131</v>
      </c>
      <c r="M124" s="26">
        <f t="shared" si="13"/>
        <v>7.0839742915407244</v>
      </c>
      <c r="N124" s="30">
        <f t="shared" si="19"/>
        <v>484.44344860808764</v>
      </c>
    </row>
    <row r="125" spans="1:14" x14ac:dyDescent="0.25">
      <c r="A125" s="114">
        <f t="shared" si="14"/>
        <v>143</v>
      </c>
      <c r="B125" s="127">
        <f>IF(A125&gt;200,"",IF($C$1='Adj-Mixed'!$A$21,VLOOKUP(A125,'800'!$A$6:$AB$188,3,FALSE),IF($C$1='Adj-Mixed'!$A$20,VLOOKUP(A125,'800'!$A$6:$AB$188,12,FALSE),IF($C$1='Adj-Mixed'!$A$19,VLOOKUP(A125,'800'!$A$6:$AB$188,21,FALSE)))))</f>
        <v>95.276622854198365</v>
      </c>
      <c r="C125" s="126">
        <f t="shared" si="15"/>
        <v>929.17160256172338</v>
      </c>
      <c r="D125" s="26">
        <f t="shared" si="16"/>
        <v>0.32744045435025937</v>
      </c>
      <c r="E125" s="26">
        <f>IF(A125&gt;200,"",IF($C$1='Adj-Mixed'!$A$21,VLOOKUP(A125,'800'!$A$7:$AB$188,9,FALSE),IF($C$1='Adj-Mixed'!$A$20,VLOOKUP(A125,'800'!$A$7:$AB$188,18,FALSE),IF($C$1='Adj-Mixed'!$A$19,VLOOKUP(A125,'800'!$A$7:$AB$188,27,FALSE)))))</f>
        <v>3.053990387303553</v>
      </c>
      <c r="F125" s="26">
        <f t="shared" si="11"/>
        <v>2.8376811423789405</v>
      </c>
      <c r="G125" s="27">
        <f t="shared" si="18"/>
        <v>196.06886273915171</v>
      </c>
      <c r="H125" s="1"/>
      <c r="I125" s="127">
        <f t="shared" si="17"/>
        <v>152.15824496603531</v>
      </c>
      <c r="J125" s="25">
        <f>IF(A125&gt;200,"",C125*'Adj-Gilts'!$C$6)</f>
        <v>1460.3653981763964</v>
      </c>
      <c r="K125" s="26">
        <f>IF(A125&gt;200,"",D125*'Adj-Gilts'!$C$7)</f>
        <v>0.20527311021196523</v>
      </c>
      <c r="L125" s="1">
        <f t="shared" si="12"/>
        <v>4.8715586711157588</v>
      </c>
      <c r="M125" s="26">
        <f t="shared" si="13"/>
        <v>7.1142557184836415</v>
      </c>
      <c r="N125" s="30">
        <f t="shared" si="19"/>
        <v>491.5577043265713</v>
      </c>
    </row>
    <row r="126" spans="1:14" x14ac:dyDescent="0.25">
      <c r="A126" s="114">
        <f t="shared" si="14"/>
        <v>144</v>
      </c>
      <c r="B126" s="127">
        <f>IF(A126&gt;200,"",IF($C$1='Adj-Mixed'!$A$21,VLOOKUP(A126,'800'!$A$6:$AB$188,3,FALSE),IF($C$1='Adj-Mixed'!$A$20,VLOOKUP(A126,'800'!$A$6:$AB$188,12,FALSE),IF($C$1='Adj-Mixed'!$A$19,VLOOKUP(A126,'800'!$A$6:$AB$188,21,FALSE)))))</f>
        <v>96.204258871088186</v>
      </c>
      <c r="C126" s="126">
        <f t="shared" si="15"/>
        <v>927.63601688982078</v>
      </c>
      <c r="D126" s="26">
        <f t="shared" si="16"/>
        <v>0.3255351945951524</v>
      </c>
      <c r="E126" s="26">
        <f>IF(A126&gt;200,"",IF($C$1='Adj-Mixed'!$A$21,VLOOKUP(A126,'800'!$A$7:$AB$188,9,FALSE),IF($C$1='Adj-Mixed'!$A$20,VLOOKUP(A126,'800'!$A$7:$AB$188,18,FALSE),IF($C$1='Adj-Mixed'!$A$19,VLOOKUP(A126,'800'!$A$7:$AB$188,27,FALSE)))))</f>
        <v>3.0718644761087566</v>
      </c>
      <c r="F126" s="26">
        <f t="shared" si="11"/>
        <v>2.8495721270428631</v>
      </c>
      <c r="G126" s="27">
        <f t="shared" si="18"/>
        <v>198.91843486619459</v>
      </c>
      <c r="H126" s="1"/>
      <c r="I126" s="127">
        <f t="shared" si="17"/>
        <v>153.6161969067029</v>
      </c>
      <c r="J126" s="25">
        <f>IF(A126&gt;200,"",C126*'Adj-Gilts'!$C$6)</f>
        <v>1457.9519406675795</v>
      </c>
      <c r="K126" s="26">
        <f>IF(A126&gt;200,"",D126*'Adj-Gilts'!$C$7)</f>
        <v>0.20407869886023242</v>
      </c>
      <c r="L126" s="1">
        <f t="shared" si="12"/>
        <v>4.9000704413784559</v>
      </c>
      <c r="M126" s="26">
        <f t="shared" si="13"/>
        <v>7.1440672094155619</v>
      </c>
      <c r="N126" s="30">
        <f t="shared" si="19"/>
        <v>498.70177153598684</v>
      </c>
    </row>
    <row r="127" spans="1:14" x14ac:dyDescent="0.25">
      <c r="A127" s="114">
        <f t="shared" si="14"/>
        <v>145</v>
      </c>
      <c r="B127" s="127">
        <f>IF(A127&gt;200,"",IF($C$1='Adj-Mixed'!$A$21,VLOOKUP(A127,'800'!$A$6:$AB$188,3,FALSE),IF($C$1='Adj-Mixed'!$A$20,VLOOKUP(A127,'800'!$A$6:$AB$188,12,FALSE),IF($C$1='Adj-Mixed'!$A$19,VLOOKUP(A127,'800'!$A$6:$AB$188,21,FALSE)))))</f>
        <v>97.13028925588722</v>
      </c>
      <c r="C127" s="126">
        <f t="shared" si="15"/>
        <v>926.03038479903432</v>
      </c>
      <c r="D127" s="26">
        <f t="shared" si="16"/>
        <v>0.32364222565954603</v>
      </c>
      <c r="E127" s="26">
        <f>IF(A127&gt;200,"",IF($C$1='Adj-Mixed'!$A$21,VLOOKUP(A127,'800'!$A$7:$AB$188,9,FALSE),IF($C$1='Adj-Mixed'!$A$20,VLOOKUP(A127,'800'!$A$7:$AB$188,18,FALSE),IF($C$1='Adj-Mixed'!$A$19,VLOOKUP(A127,'800'!$A$7:$AB$188,27,FALSE)))))</f>
        <v>3.0898316743500134</v>
      </c>
      <c r="F127" s="26">
        <f t="shared" si="11"/>
        <v>2.8612780143625871</v>
      </c>
      <c r="G127" s="27">
        <f t="shared" si="18"/>
        <v>201.77971288055718</v>
      </c>
      <c r="H127" s="1"/>
      <c r="I127" s="127">
        <f t="shared" si="17"/>
        <v>155.07162529893108</v>
      </c>
      <c r="J127" s="25">
        <f>IF(A127&gt;200,"",C127*'Adj-Gilts'!$C$6)</f>
        <v>1455.4283922281722</v>
      </c>
      <c r="K127" s="26">
        <f>IF(A127&gt;200,"",D127*'Adj-Gilts'!$C$7)</f>
        <v>0.20289199264912114</v>
      </c>
      <c r="L127" s="1">
        <f t="shared" si="12"/>
        <v>4.9287307347283411</v>
      </c>
      <c r="M127" s="26">
        <f t="shared" si="13"/>
        <v>7.1734146489712476</v>
      </c>
      <c r="N127" s="30">
        <f t="shared" si="19"/>
        <v>505.87518618495807</v>
      </c>
    </row>
    <row r="128" spans="1:14" x14ac:dyDescent="0.25">
      <c r="A128" s="114">
        <f t="shared" si="14"/>
        <v>146</v>
      </c>
      <c r="B128" s="127">
        <f>IF(A128&gt;200,"",IF($C$1='Adj-Mixed'!$A$21,VLOOKUP(A128,'800'!$A$6:$AB$188,3,FALSE),IF($C$1='Adj-Mixed'!$A$20,VLOOKUP(A128,'800'!$A$6:$AB$188,12,FALSE),IF($C$1='Adj-Mixed'!$A$19,VLOOKUP(A128,'800'!$A$6:$AB$188,21,FALSE)))))</f>
        <v>98.054645476979701</v>
      </c>
      <c r="C128" s="126">
        <f t="shared" si="15"/>
        <v>924.35622109248072</v>
      </c>
      <c r="D128" s="26">
        <f t="shared" si="16"/>
        <v>0.32176129513222851</v>
      </c>
      <c r="E128" s="26">
        <f>IF(A128&gt;200,"",IF($C$1='Adj-Mixed'!$A$21,VLOOKUP(A128,'800'!$A$7:$AB$188,9,FALSE),IF($C$1='Adj-Mixed'!$A$20,VLOOKUP(A128,'800'!$A$7:$AB$188,18,FALSE),IF($C$1='Adj-Mixed'!$A$19,VLOOKUP(A128,'800'!$A$7:$AB$188,27,FALSE)))))</f>
        <v>3.1078940044328447</v>
      </c>
      <c r="F128" s="26">
        <f t="shared" si="11"/>
        <v>2.8728011574935217</v>
      </c>
      <c r="G128" s="27">
        <f t="shared" si="18"/>
        <v>204.6525140380507</v>
      </c>
      <c r="H128" s="1"/>
      <c r="I128" s="127">
        <f t="shared" si="17"/>
        <v>156.52442243258312</v>
      </c>
      <c r="J128" s="25">
        <f>IF(A128&gt;200,"",C128*'Adj-Gilts'!$C$6)</f>
        <v>1452.7971336520459</v>
      </c>
      <c r="K128" s="26">
        <f>IF(A128&gt;200,"",D128*'Adj-Gilts'!$C$7)</f>
        <v>0.20171283334151133</v>
      </c>
      <c r="L128" s="1">
        <f t="shared" si="12"/>
        <v>4.9575427771962479</v>
      </c>
      <c r="M128" s="26">
        <f t="shared" si="13"/>
        <v>7.2023039366681125</v>
      </c>
      <c r="N128" s="30">
        <f t="shared" si="19"/>
        <v>513.07749012162617</v>
      </c>
    </row>
    <row r="129" spans="1:14" x14ac:dyDescent="0.25">
      <c r="A129" s="114">
        <f t="shared" si="14"/>
        <v>147</v>
      </c>
      <c r="B129" s="127">
        <f>IF(A129&gt;200,"",IF($C$1='Adj-Mixed'!$A$21,VLOOKUP(A129,'800'!$A$6:$AB$188,3,FALSE),IF($C$1='Adj-Mixed'!$A$20,VLOOKUP(A129,'800'!$A$6:$AB$188,12,FALSE),IF($C$1='Adj-Mixed'!$A$19,VLOOKUP(A129,'800'!$A$6:$AB$188,21,FALSE)))))</f>
        <v>98.977260507265399</v>
      </c>
      <c r="C129" s="126">
        <f t="shared" si="15"/>
        <v>922.61503028569791</v>
      </c>
      <c r="D129" s="26">
        <f t="shared" si="16"/>
        <v>0.31989216140541615</v>
      </c>
      <c r="E129" s="26">
        <f>IF(A129&gt;200,"",IF($C$1='Adj-Mixed'!$A$21,VLOOKUP(A129,'800'!$A$7:$AB$188,9,FALSE),IF($C$1='Adj-Mixed'!$A$20,VLOOKUP(A129,'800'!$A$7:$AB$188,18,FALSE),IF($C$1='Adj-Mixed'!$A$19,VLOOKUP(A129,'800'!$A$7:$AB$188,27,FALSE)))))</f>
        <v>3.1260534662887456</v>
      </c>
      <c r="F129" s="26">
        <f t="shared" si="11"/>
        <v>2.884143913474702</v>
      </c>
      <c r="G129" s="27">
        <f t="shared" si="18"/>
        <v>207.5366579515254</v>
      </c>
      <c r="H129" s="1"/>
      <c r="I129" s="127">
        <f t="shared" si="17"/>
        <v>157.97448296214736</v>
      </c>
      <c r="J129" s="25">
        <f>IF(A129&gt;200,"",C129*'Adj-Gilts'!$C$6)</f>
        <v>1450.0605295642349</v>
      </c>
      <c r="K129" s="26">
        <f>IF(A129&gt;200,"",D129*'Adj-Gilts'!$C$7)</f>
        <v>0.20054106947297468</v>
      </c>
      <c r="L129" s="1">
        <f t="shared" si="12"/>
        <v>4.9865097589636722</v>
      </c>
      <c r="M129" s="26">
        <f t="shared" si="13"/>
        <v>7.2307409817600874</v>
      </c>
      <c r="N129" s="30">
        <f t="shared" si="19"/>
        <v>520.30823110338622</v>
      </c>
    </row>
    <row r="130" spans="1:14" x14ac:dyDescent="0.25">
      <c r="A130" s="114">
        <f t="shared" si="14"/>
        <v>148</v>
      </c>
      <c r="B130" s="127">
        <f>IF(A130&gt;200,"",IF($C$1='Adj-Mixed'!$A$21,VLOOKUP(A130,'800'!$A$6:$AB$188,3,FALSE),IF($C$1='Adj-Mixed'!$A$20,VLOOKUP(A130,'800'!$A$6:$AB$188,12,FALSE),IF($C$1='Adj-Mixed'!$A$19,VLOOKUP(A130,'800'!$A$6:$AB$188,21,FALSE)))))</f>
        <v>99.898068813402091</v>
      </c>
      <c r="C130" s="126">
        <f t="shared" si="15"/>
        <v>920.80830613669207</v>
      </c>
      <c r="D130" s="26">
        <f t="shared" si="16"/>
        <v>0.31803459327637945</v>
      </c>
      <c r="E130" s="26">
        <f>IF(A130&gt;200,"",IF($C$1='Adj-Mixed'!$A$21,VLOOKUP(A130,'800'!$A$7:$AB$188,9,FALSE),IF($C$1='Adj-Mixed'!$A$20,VLOOKUP(A130,'800'!$A$7:$AB$188,18,FALSE),IF($C$1='Adj-Mixed'!$A$19,VLOOKUP(A130,'800'!$A$7:$AB$188,27,FALSE)))))</f>
        <v>3.1443120375618281</v>
      </c>
      <c r="F130" s="26">
        <f t="shared" si="11"/>
        <v>2.8953086412725177</v>
      </c>
      <c r="G130" s="27">
        <f t="shared" si="18"/>
        <v>210.43196659279792</v>
      </c>
      <c r="H130" s="1"/>
      <c r="I130" s="127">
        <f t="shared" si="17"/>
        <v>159.42170388982967</v>
      </c>
      <c r="J130" s="25">
        <f>IF(A130&gt;200,"",C130*'Adj-Gilts'!$C$6)</f>
        <v>1447.220927682318</v>
      </c>
      <c r="K130" s="26">
        <f>IF(A130&gt;200,"",D130*'Adj-Gilts'!$C$7)</f>
        <v>0.19937655610203334</v>
      </c>
      <c r="L130" s="1">
        <f t="shared" si="12"/>
        <v>5.0156348346604904</v>
      </c>
      <c r="M130" s="26">
        <f t="shared" si="13"/>
        <v>7.2587316983331052</v>
      </c>
      <c r="N130" s="30">
        <f t="shared" si="19"/>
        <v>527.56696280171934</v>
      </c>
    </row>
    <row r="131" spans="1:14" x14ac:dyDescent="0.25">
      <c r="A131" s="114">
        <f t="shared" si="14"/>
        <v>149</v>
      </c>
      <c r="B131" s="127">
        <f>IF(A131&gt;200,"",IF($C$1='Adj-Mixed'!$A$21,VLOOKUP(A131,'800'!$A$6:$AB$188,3,FALSE),IF($C$1='Adj-Mixed'!$A$20,VLOOKUP(A131,'800'!$A$6:$AB$188,12,FALSE),IF($C$1='Adj-Mixed'!$A$19,VLOOKUP(A131,'800'!$A$6:$AB$188,21,FALSE)))))</f>
        <v>100.81700634460068</v>
      </c>
      <c r="C131" s="126">
        <f t="shared" si="15"/>
        <v>918.93753119859412</v>
      </c>
      <c r="D131" s="26">
        <f t="shared" si="16"/>
        <v>0.31618836956187213</v>
      </c>
      <c r="E131" s="26">
        <f>IF(A131&gt;200,"",IF($C$1='Adj-Mixed'!$A$21,VLOOKUP(A131,'800'!$A$7:$AB$188,9,FALSE),IF($C$1='Adj-Mixed'!$A$20,VLOOKUP(A131,'800'!$A$7:$AB$188,18,FALSE),IF($C$1='Adj-Mixed'!$A$19,VLOOKUP(A131,'800'!$A$7:$AB$188,27,FALSE)))))</f>
        <v>3.1626716738052529</v>
      </c>
      <c r="F131" s="26">
        <f t="shared" si="11"/>
        <v>2.9062976999183241</v>
      </c>
      <c r="G131" s="27">
        <f t="shared" si="18"/>
        <v>213.33826429271625</v>
      </c>
      <c r="H131" s="1"/>
      <c r="I131" s="127">
        <f t="shared" si="17"/>
        <v>160.86598454794301</v>
      </c>
      <c r="J131" s="25">
        <f>IF(A131&gt;200,"",C131*'Adj-Gilts'!$C$6)</f>
        <v>1444.2806581133368</v>
      </c>
      <c r="K131" s="26">
        <f>IF(A131&gt;200,"",D131*'Adj-Gilts'!$C$7)</f>
        <v>0.19821915456844455</v>
      </c>
      <c r="L131" s="1">
        <f t="shared" si="12"/>
        <v>5.0449211236783</v>
      </c>
      <c r="M131" s="26">
        <f t="shared" si="13"/>
        <v>7.2862820006359703</v>
      </c>
      <c r="N131" s="30">
        <f t="shared" si="19"/>
        <v>534.85324480235533</v>
      </c>
    </row>
    <row r="132" spans="1:14" x14ac:dyDescent="0.25">
      <c r="A132" s="114">
        <f t="shared" si="14"/>
        <v>150</v>
      </c>
      <c r="B132" s="127">
        <f>IF(A132&gt;200,"",IF($C$1='Adj-Mixed'!$A$21,VLOOKUP(A132,'800'!$A$6:$AB$188,3,FALSE),IF($C$1='Adj-Mixed'!$A$20,VLOOKUP(A132,'800'!$A$6:$AB$188,12,FALSE),IF($C$1='Adj-Mixed'!$A$19,VLOOKUP(A132,'800'!$A$6:$AB$188,21,FALSE)))))</f>
        <v>101.7340105209942</v>
      </c>
      <c r="C132" s="126">
        <f t="shared" si="15"/>
        <v>917.00417639351883</v>
      </c>
      <c r="D132" s="26">
        <f t="shared" si="16"/>
        <v>0.31435327872459767</v>
      </c>
      <c r="E132" s="26">
        <f>IF(A132&gt;200,"",IF($C$1='Adj-Mixed'!$A$21,VLOOKUP(A132,'800'!$A$7:$AB$188,9,FALSE),IF($C$1='Adj-Mixed'!$A$20,VLOOKUP(A132,'800'!$A$7:$AB$188,18,FALSE),IF($C$1='Adj-Mixed'!$A$19,VLOOKUP(A132,'800'!$A$7:$AB$188,27,FALSE)))))</f>
        <v>3.181134308689975</v>
      </c>
      <c r="F132" s="26">
        <f t="shared" ref="F132:F185" si="20">IF(A132&gt;200,"",(E132*C132)/1000)</f>
        <v>2.9171134467374165</v>
      </c>
      <c r="G132" s="27">
        <f t="shared" si="18"/>
        <v>216.25537773945365</v>
      </c>
      <c r="H132" s="1"/>
      <c r="I132" s="127">
        <f t="shared" si="17"/>
        <v>162.30722658062706</v>
      </c>
      <c r="J132" s="25">
        <f>IF(A132&gt;200,"",C132*'Adj-Gilts'!$C$6)</f>
        <v>1441.242032684034</v>
      </c>
      <c r="K132" s="26">
        <f>IF(A132&gt;200,"",D132*'Adj-Gilts'!$C$7)</f>
        <v>0.19706873225903171</v>
      </c>
      <c r="L132" s="1">
        <f t="shared" ref="L132:L185" si="21">IF(A132&gt;200,"",1/K132)</f>
        <v>5.0743717105034039</v>
      </c>
      <c r="M132" s="26">
        <f t="shared" ref="M132:M185" si="22">IF(A132&gt;200,"",(J132/1000)/K132)</f>
        <v>7.3133977986402838</v>
      </c>
      <c r="N132" s="30">
        <f t="shared" si="19"/>
        <v>542.1666426009956</v>
      </c>
    </row>
    <row r="133" spans="1:14" x14ac:dyDescent="0.25">
      <c r="A133" s="114">
        <f t="shared" ref="A133:A185" si="23">A132+1</f>
        <v>151</v>
      </c>
      <c r="B133" s="127">
        <f>IF(A133&gt;200,"",IF($C$1='Adj-Mixed'!$A$21,VLOOKUP(A133,'800'!$A$6:$AB$188,3,FALSE),IF($C$1='Adj-Mixed'!$A$20,VLOOKUP(A133,'800'!$A$6:$AB$188,12,FALSE),IF($C$1='Adj-Mixed'!$A$19,VLOOKUP(A133,'800'!$A$6:$AB$188,21,FALSE)))))</f>
        <v>102.64902022160092</v>
      </c>
      <c r="C133" s="126">
        <f t="shared" ref="C133:C185" si="24">IF(A133&gt;200,"",(B133-B132)*1000)</f>
        <v>915.00970060671705</v>
      </c>
      <c r="D133" s="26">
        <f t="shared" ref="D133:D185" si="25">IF(A133&gt;200,"",1/E133)</f>
        <v>0.31252911851115123</v>
      </c>
      <c r="E133" s="26">
        <f>IF(A133&gt;200,"",IF($C$1='Adj-Mixed'!$A$21,VLOOKUP(A133,'800'!$A$7:$AB$188,9,FALSE),IF($C$1='Adj-Mixed'!$A$20,VLOOKUP(A133,'800'!$A$7:$AB$188,18,FALSE),IF($C$1='Adj-Mixed'!$A$19,VLOOKUP(A133,'800'!$A$7:$AB$188,27,FALSE)))))</f>
        <v>3.1997018542268068</v>
      </c>
      <c r="F133" s="26">
        <f t="shared" si="20"/>
        <v>2.9277582356668277</v>
      </c>
      <c r="G133" s="27">
        <f t="shared" si="18"/>
        <v>219.18313597512048</v>
      </c>
      <c r="H133" s="1"/>
      <c r="I133" s="127">
        <f t="shared" ref="I133:I185" si="26">IF(A133&gt;200,"",I132+(J133/1000))</f>
        <v>163.74533392493004</v>
      </c>
      <c r="J133" s="25">
        <f>IF(A133&gt;200,"",C133*'Adj-Gilts'!$C$6)</f>
        <v>1438.1073443029904</v>
      </c>
      <c r="K133" s="26">
        <f>IF(A133&gt;200,"",D133*'Adj-Gilts'!$C$7)</f>
        <v>0.19592516238070959</v>
      </c>
      <c r="L133" s="1">
        <f t="shared" si="21"/>
        <v>5.1039896450710209</v>
      </c>
      <c r="M133" s="26">
        <f t="shared" si="22"/>
        <v>7.3400849938230479</v>
      </c>
      <c r="N133" s="30">
        <f t="shared" si="19"/>
        <v>549.5067275948187</v>
      </c>
    </row>
    <row r="134" spans="1:14" x14ac:dyDescent="0.25">
      <c r="A134" s="114">
        <f t="shared" si="23"/>
        <v>152</v>
      </c>
      <c r="B134" s="127">
        <f>IF(A134&gt;200,"",IF($C$1='Adj-Mixed'!$A$21,VLOOKUP(A134,'800'!$A$6:$AB$188,3,FALSE),IF($C$1='Adj-Mixed'!$A$20,VLOOKUP(A134,'800'!$A$6:$AB$188,12,FALSE),IF($C$1='Adj-Mixed'!$A$19,VLOOKUP(A134,'800'!$A$6:$AB$188,21,FALSE)))))</f>
        <v>103.56197577190318</v>
      </c>
      <c r="C134" s="126">
        <f t="shared" si="24"/>
        <v>912.95555030225728</v>
      </c>
      <c r="D134" s="26">
        <f t="shared" si="25"/>
        <v>0.31071569560162549</v>
      </c>
      <c r="E134" s="26">
        <f>IF(A134&gt;200,"",IF($C$1='Adj-Mixed'!$A$21,VLOOKUP(A134,'800'!$A$7:$AB$188,9,FALSE),IF($C$1='Adj-Mixed'!$A$20,VLOOKUP(A134,'800'!$A$7:$AB$188,18,FALSE),IF($C$1='Adj-Mixed'!$A$19,VLOOKUP(A134,'800'!$A$7:$AB$188,27,FALSE)))))</f>
        <v>3.218376200995392</v>
      </c>
      <c r="F134" s="26">
        <f t="shared" si="20"/>
        <v>2.9382344156594362</v>
      </c>
      <c r="G134" s="27">
        <f t="shared" ref="G134:G185" si="27">IF(A134&gt;200,"",F134+G133)</f>
        <v>222.1213703907799</v>
      </c>
      <c r="H134" s="1"/>
      <c r="I134" s="127">
        <f t="shared" si="26"/>
        <v>165.18021279128664</v>
      </c>
      <c r="J134" s="25">
        <f>IF(A134&gt;200,"",C134*'Adj-Gilts'!$C$6)</f>
        <v>1434.8788663565958</v>
      </c>
      <c r="K134" s="26">
        <f>IF(A134&gt;200,"",D134*'Adj-Gilts'!$C$7)</f>
        <v>0.1947883237408212</v>
      </c>
      <c r="L134" s="1">
        <f t="shared" si="21"/>
        <v>5.1337779431305464</v>
      </c>
      <c r="M134" s="26">
        <f t="shared" si="22"/>
        <v>7.3663494751656549</v>
      </c>
      <c r="N134" s="30">
        <f t="shared" ref="N134:N185" si="28">IF(A134&gt;200,"",N133+M134)</f>
        <v>556.87307706998433</v>
      </c>
    </row>
    <row r="135" spans="1:14" x14ac:dyDescent="0.25">
      <c r="A135" s="114">
        <f t="shared" si="23"/>
        <v>153</v>
      </c>
      <c r="B135" s="127">
        <f>IF(A135&gt;200,"",IF($C$1='Adj-Mixed'!$A$21,VLOOKUP(A135,'800'!$A$6:$AB$188,3,FALSE),IF($C$1='Adj-Mixed'!$A$20,VLOOKUP(A135,'800'!$A$6:$AB$188,12,FALSE),IF($C$1='Adj-Mixed'!$A$19,VLOOKUP(A135,'800'!$A$6:$AB$188,21,FALSE)))))</f>
        <v>104.4728189310615</v>
      </c>
      <c r="C135" s="126">
        <f t="shared" si="24"/>
        <v>910.84315915831837</v>
      </c>
      <c r="D135" s="26">
        <f t="shared" si="25"/>
        <v>0.30891282527000646</v>
      </c>
      <c r="E135" s="26">
        <f>IF(A135&gt;200,"",IF($C$1='Adj-Mixed'!$A$21,VLOOKUP(A135,'800'!$A$7:$AB$188,9,FALSE),IF($C$1='Adj-Mixed'!$A$20,VLOOKUP(A135,'800'!$A$7:$AB$188,18,FALSE),IF($C$1='Adj-Mixed'!$A$19,VLOOKUP(A135,'800'!$A$7:$AB$188,27,FALSE)))))</f>
        <v>3.2371592183844946</v>
      </c>
      <c r="F135" s="26">
        <f t="shared" si="20"/>
        <v>2.9485443291718059</v>
      </c>
      <c r="G135" s="27">
        <f t="shared" si="27"/>
        <v>225.0699147199517</v>
      </c>
      <c r="H135" s="1"/>
      <c r="I135" s="127">
        <f t="shared" si="26"/>
        <v>166.61177164342249</v>
      </c>
      <c r="J135" s="25">
        <f>IF(A135&gt;200,"",C135*'Adj-Gilts'!$C$6)</f>
        <v>1431.5588521358452</v>
      </c>
      <c r="K135" s="26">
        <f>IF(A135&gt;200,"",D135*'Adj-Gilts'!$C$7)</f>
        <v>0.19365810053423951</v>
      </c>
      <c r="L135" s="1">
        <f t="shared" si="21"/>
        <v>5.1637395866288385</v>
      </c>
      <c r="M135" s="26">
        <f t="shared" si="22"/>
        <v>7.3921971153628032</v>
      </c>
      <c r="N135" s="30">
        <f t="shared" si="28"/>
        <v>564.26527418534715</v>
      </c>
    </row>
    <row r="136" spans="1:14" x14ac:dyDescent="0.25">
      <c r="A136" s="114">
        <f t="shared" si="23"/>
        <v>154</v>
      </c>
      <c r="B136" s="127">
        <f>IF(A136&gt;200,"",IF($C$1='Adj-Mixed'!$A$21,VLOOKUP(A136,'800'!$A$6:$AB$188,3,FALSE),IF($C$1='Adj-Mixed'!$A$20,VLOOKUP(A136,'800'!$A$6:$AB$188,12,FALSE),IF($C$1='Adj-Mixed'!$A$19,VLOOKUP(A136,'800'!$A$6:$AB$188,21,FALSE)))))</f>
        <v>105.38149287878396</v>
      </c>
      <c r="C136" s="126">
        <f t="shared" si="24"/>
        <v>908.67394772246257</v>
      </c>
      <c r="D136" s="26">
        <f t="shared" si="25"/>
        <v>0.3071203310552843</v>
      </c>
      <c r="E136" s="26">
        <f>IF(A136&gt;200,"",IF($C$1='Adj-Mixed'!$A$21,VLOOKUP(A136,'800'!$A$7:$AB$188,9,FALSE),IF($C$1='Adj-Mixed'!$A$20,VLOOKUP(A136,'800'!$A$7:$AB$188,18,FALSE),IF($C$1='Adj-Mixed'!$A$19,VLOOKUP(A136,'800'!$A$7:$AB$188,27,FALSE)))))</f>
        <v>3.2560527548402241</v>
      </c>
      <c r="F136" s="26">
        <f t="shared" si="20"/>
        <v>2.958690310733266</v>
      </c>
      <c r="G136" s="27">
        <f t="shared" si="27"/>
        <v>228.02860503068496</v>
      </c>
      <c r="H136" s="1"/>
      <c r="I136" s="127">
        <f t="shared" si="26"/>
        <v>168.03992117771702</v>
      </c>
      <c r="J136" s="25">
        <f>IF(A136&gt;200,"",C136*'Adj-Gilts'!$C$6)</f>
        <v>1428.1495342945352</v>
      </c>
      <c r="K136" s="26">
        <f>IF(A136&gt;200,"",D136*'Adj-Gilts'!$C$7)</f>
        <v>0.19253438213718593</v>
      </c>
      <c r="L136" s="1">
        <f t="shared" si="21"/>
        <v>5.1938775241061776</v>
      </c>
      <c r="M136" s="26">
        <f t="shared" si="22"/>
        <v>7.4176337672350909</v>
      </c>
      <c r="N136" s="30">
        <f t="shared" si="28"/>
        <v>571.68290795258224</v>
      </c>
    </row>
    <row r="137" spans="1:14" x14ac:dyDescent="0.25">
      <c r="A137" s="114">
        <f t="shared" si="23"/>
        <v>155</v>
      </c>
      <c r="B137" s="127">
        <f>IF(A137&gt;200,"",IF($C$1='Adj-Mixed'!$A$21,VLOOKUP(A137,'800'!$A$6:$AB$188,3,FALSE),IF($C$1='Adj-Mixed'!$A$20,VLOOKUP(A137,'800'!$A$6:$AB$188,12,FALSE),IF($C$1='Adj-Mixed'!$A$19,VLOOKUP(A137,'800'!$A$6:$AB$188,21,FALSE)))))</f>
        <v>106.28794220187039</v>
      </c>
      <c r="C137" s="126">
        <f t="shared" si="24"/>
        <v>906.44932308643433</v>
      </c>
      <c r="D137" s="26">
        <f t="shared" si="25"/>
        <v>0.30533804444293877</v>
      </c>
      <c r="E137" s="26">
        <f>IF(A137&gt;200,"",IF($C$1='Adj-Mixed'!$A$21,VLOOKUP(A137,'800'!$A$7:$AB$188,9,FALSE),IF($C$1='Adj-Mixed'!$A$20,VLOOKUP(A137,'800'!$A$7:$AB$188,18,FALSE),IF($C$1='Adj-Mixed'!$A$19,VLOOKUP(A137,'800'!$A$7:$AB$188,27,FALSE)))))</f>
        <v>3.275058638121588</v>
      </c>
      <c r="F137" s="26">
        <f t="shared" si="20"/>
        <v>2.968674685593693</v>
      </c>
      <c r="G137" s="27">
        <f t="shared" si="27"/>
        <v>230.99727971627865</v>
      </c>
      <c r="H137" s="1"/>
      <c r="I137" s="127">
        <f t="shared" si="26"/>
        <v>169.46457430205518</v>
      </c>
      <c r="J137" s="25">
        <f>IF(A137&gt;200,"",C137*'Adj-Gilts'!$C$6)</f>
        <v>1424.6531243381507</v>
      </c>
      <c r="K137" s="26">
        <f>IF(A137&gt;200,"",D137*'Adj-Gilts'!$C$7)</f>
        <v>0.19141706290755292</v>
      </c>
      <c r="L137" s="1">
        <f t="shared" si="21"/>
        <v>5.2241946711039109</v>
      </c>
      <c r="M137" s="26">
        <f t="shared" si="22"/>
        <v>7.442665260338905</v>
      </c>
      <c r="N137" s="30">
        <f t="shared" si="28"/>
        <v>579.12557321292115</v>
      </c>
    </row>
    <row r="138" spans="1:14" x14ac:dyDescent="0.25">
      <c r="A138" s="114">
        <f t="shared" si="23"/>
        <v>156</v>
      </c>
      <c r="B138" s="127">
        <f>IF(A138&gt;200,"",IF($C$1='Adj-Mixed'!$A$21,VLOOKUP(A138,'800'!$A$6:$AB$188,3,FALSE),IF($C$1='Adj-Mixed'!$A$20,VLOOKUP(A138,'800'!$A$6:$AB$188,12,FALSE),IF($C$1='Adj-Mixed'!$A$19,VLOOKUP(A138,'800'!$A$6:$AB$188,21,FALSE)))))</f>
        <v>107.19211288044995</v>
      </c>
      <c r="C138" s="126">
        <f t="shared" si="24"/>
        <v>904.17067857956113</v>
      </c>
      <c r="D138" s="26">
        <f t="shared" si="25"/>
        <v>0.30356580455631471</v>
      </c>
      <c r="E138" s="26">
        <f>IF(A138&gt;200,"",IF($C$1='Adj-Mixed'!$A$21,VLOOKUP(A138,'800'!$A$7:$AB$188,9,FALSE),IF($C$1='Adj-Mixed'!$A$20,VLOOKUP(A138,'800'!$A$7:$AB$188,18,FALSE),IF($C$1='Adj-Mixed'!$A$19,VLOOKUP(A138,'800'!$A$7:$AB$188,27,FALSE)))))</f>
        <v>3.2941786755645239</v>
      </c>
      <c r="F138" s="26">
        <f t="shared" si="20"/>
        <v>2.9784997684474956</v>
      </c>
      <c r="G138" s="27">
        <f t="shared" si="27"/>
        <v>233.97577948472616</v>
      </c>
      <c r="H138" s="1"/>
      <c r="I138" s="127">
        <f t="shared" si="26"/>
        <v>170.88564611419716</v>
      </c>
      <c r="J138" s="25">
        <f>IF(A138&gt;200,"",C138*'Adj-Gilts'!$C$6)</f>
        <v>1421.0718121419882</v>
      </c>
      <c r="K138" s="26">
        <f>IF(A138&gt;200,"",D138*'Adj-Gilts'!$C$7)</f>
        <v>0.19030604199142667</v>
      </c>
      <c r="L138" s="1">
        <f t="shared" si="21"/>
        <v>5.2546939105856145</v>
      </c>
      <c r="M138" s="26">
        <f t="shared" si="22"/>
        <v>7.4672973977673696</v>
      </c>
      <c r="N138" s="30">
        <f t="shared" si="28"/>
        <v>586.59287061068858</v>
      </c>
    </row>
    <row r="139" spans="1:14" x14ac:dyDescent="0.25">
      <c r="A139" s="114">
        <f t="shared" si="23"/>
        <v>157</v>
      </c>
      <c r="B139" s="127">
        <f>IF(A139&gt;200,"",IF($C$1='Adj-Mixed'!$A$21,VLOOKUP(A139,'800'!$A$6:$AB$188,3,FALSE),IF($C$1='Adj-Mixed'!$A$20,VLOOKUP(A139,'800'!$A$6:$AB$188,12,FALSE),IF($C$1='Adj-Mixed'!$A$19,VLOOKUP(A139,'800'!$A$6:$AB$188,21,FALSE)))))</f>
        <v>108.09395227393163</v>
      </c>
      <c r="C139" s="126">
        <f t="shared" si="24"/>
        <v>901.83939348167996</v>
      </c>
      <c r="D139" s="26">
        <f t="shared" si="25"/>
        <v>0.30180345785804114</v>
      </c>
      <c r="E139" s="26">
        <f>IF(A139&gt;200,"",IF($C$1='Adj-Mixed'!$A$21,VLOOKUP(A139,'800'!$A$7:$AB$188,9,FALSE),IF($C$1='Adj-Mixed'!$A$20,VLOOKUP(A139,'800'!$A$7:$AB$188,18,FALSE),IF($C$1='Adj-Mixed'!$A$19,VLOOKUP(A139,'800'!$A$7:$AB$188,27,FALSE)))))</f>
        <v>3.313414654348886</v>
      </c>
      <c r="F139" s="26">
        <f t="shared" si="20"/>
        <v>2.9881678622313097</v>
      </c>
      <c r="G139" s="27">
        <f t="shared" si="27"/>
        <v>236.96394734695747</v>
      </c>
      <c r="H139" s="1"/>
      <c r="I139" s="127">
        <f t="shared" si="26"/>
        <v>172.30305387969713</v>
      </c>
      <c r="J139" s="25">
        <f>IF(A139&gt;200,"",C139*'Adj-Gilts'!$C$6)</f>
        <v>1417.4077654999646</v>
      </c>
      <c r="K139" s="26">
        <f>IF(A139&gt;200,"",D139*'Adj-Gilts'!$C$7)</f>
        <v>0.18920122313590604</v>
      </c>
      <c r="L139" s="1">
        <f t="shared" si="21"/>
        <v>5.2853780933629864</v>
      </c>
      <c r="M139" s="26">
        <f t="shared" si="22"/>
        <v>7.4915359531360934</v>
      </c>
      <c r="N139" s="30">
        <f t="shared" si="28"/>
        <v>594.0844065638247</v>
      </c>
    </row>
    <row r="140" spans="1:14" x14ac:dyDescent="0.25">
      <c r="A140" s="114">
        <f t="shared" si="23"/>
        <v>158</v>
      </c>
      <c r="B140" s="127">
        <f>IF(A140&gt;200,"",IF($C$1='Adj-Mixed'!$A$21,VLOOKUP(A140,'800'!$A$6:$AB$188,3,FALSE),IF($C$1='Adj-Mixed'!$A$20,VLOOKUP(A140,'800'!$A$6:$AB$188,12,FALSE),IF($C$1='Adj-Mixed'!$A$19,VLOOKUP(A140,'800'!$A$6:$AB$188,21,FALSE)))))</f>
        <v>108.99340910668479</v>
      </c>
      <c r="C140" s="126">
        <f t="shared" si="24"/>
        <v>899.45683275315957</v>
      </c>
      <c r="D140" s="26">
        <f t="shared" si="25"/>
        <v>0.30005085786052488</v>
      </c>
      <c r="E140" s="26">
        <f>IF(A140&gt;200,"",IF($C$1='Adj-Mixed'!$A$21,VLOOKUP(A140,'800'!$A$7:$AB$188,9,FALSE),IF($C$1='Adj-Mixed'!$A$20,VLOOKUP(A140,'800'!$A$7:$AB$188,18,FALSE),IF($C$1='Adj-Mixed'!$A$19,VLOOKUP(A140,'800'!$A$7:$AB$188,27,FALSE)))))</f>
        <v>3.3327683417750409</v>
      </c>
      <c r="F140" s="26">
        <f t="shared" si="20"/>
        <v>2.997681256992978</v>
      </c>
      <c r="G140" s="27">
        <f t="shared" si="27"/>
        <v>239.96162860395046</v>
      </c>
      <c r="H140" s="1"/>
      <c r="I140" s="127">
        <f t="shared" si="26"/>
        <v>173.71671700939743</v>
      </c>
      <c r="J140" s="25">
        <f>IF(A140&gt;200,"",C140*'Adj-Gilts'!$C$6)</f>
        <v>1413.6631297002991</v>
      </c>
      <c r="K140" s="26">
        <f>IF(A140&gt;200,"",D140*'Adj-Gilts'!$C$7)</f>
        <v>0.18810251450761051</v>
      </c>
      <c r="L140" s="1">
        <f t="shared" si="21"/>
        <v>5.3162500385370484</v>
      </c>
      <c r="M140" s="26">
        <f t="shared" si="22"/>
        <v>7.5153866677476184</v>
      </c>
      <c r="N140" s="30">
        <f t="shared" si="28"/>
        <v>601.59979323157233</v>
      </c>
    </row>
    <row r="141" spans="1:14" x14ac:dyDescent="0.25">
      <c r="A141" s="114">
        <f t="shared" si="23"/>
        <v>159</v>
      </c>
      <c r="B141" s="127">
        <f>IF(A141&gt;200,"",IF($C$1='Adj-Mixed'!$A$21,VLOOKUP(A141,'800'!$A$6:$AB$188,3,FALSE),IF($C$1='Adj-Mixed'!$A$20,VLOOKUP(A141,'800'!$A$6:$AB$188,12,FALSE),IF($C$1='Adj-Mixed'!$A$19,VLOOKUP(A141,'800'!$A$6:$AB$188,21,FALSE)))))</f>
        <v>109.89043345346811</v>
      </c>
      <c r="C141" s="126">
        <f t="shared" si="24"/>
        <v>897.02434678331144</v>
      </c>
      <c r="D141" s="26">
        <f t="shared" si="25"/>
        <v>0.29830786484582611</v>
      </c>
      <c r="E141" s="26">
        <f>IF(A141&gt;200,"",IF($C$1='Adj-Mixed'!$A$21,VLOOKUP(A141,'800'!$A$7:$AB$188,9,FALSE),IF($C$1='Adj-Mixed'!$A$20,VLOOKUP(A141,'800'!$A$7:$AB$188,18,FALSE),IF($C$1='Adj-Mixed'!$A$19,VLOOKUP(A141,'800'!$A$7:$AB$188,27,FALSE)))))</f>
        <v>3.3522414855432259</v>
      </c>
      <c r="F141" s="26">
        <f t="shared" si="20"/>
        <v>3.0070422288293299</v>
      </c>
      <c r="G141" s="27">
        <f t="shared" si="27"/>
        <v>242.96867083277979</v>
      </c>
      <c r="H141" s="1"/>
      <c r="I141" s="127">
        <f t="shared" si="26"/>
        <v>175.12655703652752</v>
      </c>
      <c r="J141" s="25">
        <f>IF(A141&gt;200,"",C141*'Adj-Gilts'!$C$6)</f>
        <v>1409.8400271300936</v>
      </c>
      <c r="K141" s="26">
        <f>IF(A141&gt;200,"",D141*'Adj-Gilts'!$C$7)</f>
        <v>0.18700982851706938</v>
      </c>
      <c r="L141" s="1">
        <f t="shared" si="21"/>
        <v>5.3473125339437688</v>
      </c>
      <c r="M141" s="26">
        <f t="shared" si="22"/>
        <v>7.5388552479283737</v>
      </c>
      <c r="N141" s="30">
        <f t="shared" si="28"/>
        <v>609.13864847950072</v>
      </c>
    </row>
    <row r="142" spans="1:14" x14ac:dyDescent="0.25">
      <c r="A142" s="114">
        <f t="shared" si="23"/>
        <v>160</v>
      </c>
      <c r="B142" s="127">
        <f>IF(A142&gt;200,"",IF($C$1='Adj-Mixed'!$A$21,VLOOKUP(A142,'800'!$A$6:$AB$188,3,FALSE),IF($C$1='Adj-Mixed'!$A$20,VLOOKUP(A142,'800'!$A$6:$AB$188,12,FALSE),IF($C$1='Adj-Mixed'!$A$19,VLOOKUP(A142,'800'!$A$6:$AB$188,21,FALSE)))))</f>
        <v>110.78497672462431</v>
      </c>
      <c r="C142" s="126">
        <f t="shared" si="24"/>
        <v>894.54327115620913</v>
      </c>
      <c r="D142" s="26">
        <f t="shared" si="25"/>
        <v>0.29657434559445373</v>
      </c>
      <c r="E142" s="26">
        <f>IF(A142&gt;200,"",IF($C$1='Adj-Mixed'!$A$21,VLOOKUP(A142,'800'!$A$7:$AB$188,9,FALSE),IF($C$1='Adj-Mixed'!$A$20,VLOOKUP(A142,'800'!$A$7:$AB$188,18,FALSE),IF($C$1='Adj-Mixed'!$A$19,VLOOKUP(A142,'800'!$A$7:$AB$188,27,FALSE)))))</f>
        <v>3.3718358140371163</v>
      </c>
      <c r="F142" s="26">
        <f t="shared" si="20"/>
        <v>3.016253038890421</v>
      </c>
      <c r="G142" s="27">
        <f t="shared" si="27"/>
        <v>245.98492387167022</v>
      </c>
      <c r="H142" s="1"/>
      <c r="I142" s="127">
        <f t="shared" si="26"/>
        <v>176.53249759343478</v>
      </c>
      <c r="J142" s="25">
        <f>IF(A142&gt;200,"",C142*'Adj-Gilts'!$C$6)</f>
        <v>1405.940556907274</v>
      </c>
      <c r="K142" s="26">
        <f>IF(A142&gt;200,"",D142*'Adj-Gilts'!$C$7)</f>
        <v>0.18592308164870325</v>
      </c>
      <c r="L142" s="1">
        <f t="shared" si="21"/>
        <v>5.3785683366063903</v>
      </c>
      <c r="M142" s="26">
        <f t="shared" si="22"/>
        <v>7.5619473625322193</v>
      </c>
      <c r="N142" s="30">
        <f t="shared" si="28"/>
        <v>616.70059584203295</v>
      </c>
    </row>
    <row r="143" spans="1:14" x14ac:dyDescent="0.25">
      <c r="A143" s="114">
        <f t="shared" si="23"/>
        <v>161</v>
      </c>
      <c r="B143" s="127">
        <f>IF(A143&gt;200,"",IF($C$1='Adj-Mixed'!$A$21,VLOOKUP(A143,'800'!$A$6:$AB$188,3,FALSE),IF($C$1='Adj-Mixed'!$A$20,VLOOKUP(A143,'800'!$A$6:$AB$188,12,FALSE),IF($C$1='Adj-Mixed'!$A$19,VLOOKUP(A143,'800'!$A$6:$AB$188,21,FALSE)))))</f>
        <v>111.67699165105742</v>
      </c>
      <c r="C143" s="126">
        <f t="shared" si="24"/>
        <v>892.01492643310587</v>
      </c>
      <c r="D143" s="26">
        <f t="shared" si="25"/>
        <v>0.29485017312270051</v>
      </c>
      <c r="E143" s="26">
        <f>IF(A143&gt;200,"",IF($C$1='Adj-Mixed'!$A$21,VLOOKUP(A143,'800'!$A$7:$AB$188,9,FALSE),IF($C$1='Adj-Mixed'!$A$20,VLOOKUP(A143,'800'!$A$7:$AB$188,18,FALSE),IF($C$1='Adj-Mixed'!$A$19,VLOOKUP(A143,'800'!$A$7:$AB$188,27,FALSE)))))</f>
        <v>3.3915530366124447</v>
      </c>
      <c r="F143" s="26">
        <f t="shared" si="20"/>
        <v>3.0253159324478265</v>
      </c>
      <c r="G143" s="27">
        <f t="shared" si="27"/>
        <v>249.01023980411804</v>
      </c>
      <c r="H143" s="1"/>
      <c r="I143" s="127">
        <f t="shared" si="26"/>
        <v>177.93446438797341</v>
      </c>
      <c r="J143" s="25">
        <f>IF(A143&gt;200,"",C143*'Adj-Gilts'!$C$6)</f>
        <v>1401.9667945386198</v>
      </c>
      <c r="K143" s="26">
        <f>IF(A143&gt;200,"",D143*'Adj-Gilts'!$C$7)</f>
        <v>0.18484219429615872</v>
      </c>
      <c r="L143" s="1">
        <f t="shared" si="21"/>
        <v>5.4100201731958197</v>
      </c>
      <c r="M143" s="26">
        <f t="shared" si="22"/>
        <v>7.5846686406046127</v>
      </c>
      <c r="N143" s="30">
        <f t="shared" si="28"/>
        <v>624.28526448263756</v>
      </c>
    </row>
    <row r="144" spans="1:14" x14ac:dyDescent="0.25">
      <c r="A144" s="114">
        <f t="shared" si="23"/>
        <v>162</v>
      </c>
      <c r="B144" s="127">
        <f>IF(A144&gt;200,"",IF($C$1='Adj-Mixed'!$A$21,VLOOKUP(A144,'800'!$A$6:$AB$188,3,FALSE),IF($C$1='Adj-Mixed'!$A$20,VLOOKUP(A144,'800'!$A$6:$AB$188,12,FALSE),IF($C$1='Adj-Mixed'!$A$19,VLOOKUP(A144,'800'!$A$6:$AB$188,21,FALSE)))))</f>
        <v>112.56643226900923</v>
      </c>
      <c r="C144" s="126">
        <f t="shared" si="24"/>
        <v>889.44061795180573</v>
      </c>
      <c r="D144" s="26">
        <f t="shared" si="25"/>
        <v>0.29313522642852829</v>
      </c>
      <c r="E144" s="26">
        <f>IF(A144&gt;200,"",IF($C$1='Adj-Mixed'!$A$21,VLOOKUP(A144,'800'!$A$7:$AB$188,9,FALSE),IF($C$1='Adj-Mixed'!$A$20,VLOOKUP(A144,'800'!$A$7:$AB$188,18,FALSE),IF($C$1='Adj-Mixed'!$A$19,VLOOKUP(A144,'800'!$A$7:$AB$188,27,FALSE)))))</f>
        <v>3.4113948438872397</v>
      </c>
      <c r="F144" s="26">
        <f t="shared" si="20"/>
        <v>3.0342331380246703</v>
      </c>
      <c r="G144" s="27">
        <f t="shared" si="27"/>
        <v>252.0444729421427</v>
      </c>
      <c r="H144" s="1"/>
      <c r="I144" s="127">
        <f t="shared" si="26"/>
        <v>179.33238517957784</v>
      </c>
      <c r="J144" s="25">
        <f>IF(A144&gt;200,"",C144*'Adj-Gilts'!$C$6)</f>
        <v>1397.9207916044384</v>
      </c>
      <c r="K144" s="26">
        <f>IF(A144&gt;200,"",D144*'Adj-Gilts'!$C$7)</f>
        <v>0.18376709060300328</v>
      </c>
      <c r="L144" s="1">
        <f t="shared" si="21"/>
        <v>5.4416707404936036</v>
      </c>
      <c r="M144" s="26">
        <f t="shared" si="22"/>
        <v>7.607024669201528</v>
      </c>
      <c r="N144" s="30">
        <f t="shared" si="28"/>
        <v>631.89228915183912</v>
      </c>
    </row>
    <row r="145" spans="1:14" x14ac:dyDescent="0.25">
      <c r="A145" s="114">
        <f t="shared" si="23"/>
        <v>163</v>
      </c>
      <c r="B145" s="127">
        <f>IF(A145&gt;200,"",IF($C$1='Adj-Mixed'!$A$21,VLOOKUP(A145,'800'!$A$6:$AB$188,3,FALSE),IF($C$1='Adj-Mixed'!$A$20,VLOOKUP(A145,'800'!$A$6:$AB$188,12,FALSE),IF($C$1='Adj-Mixed'!$A$19,VLOOKUP(A145,'800'!$A$6:$AB$188,21,FALSE)))))</f>
        <v>113.45325390465068</v>
      </c>
      <c r="C145" s="126">
        <f t="shared" si="24"/>
        <v>886.82163564145355</v>
      </c>
      <c r="D145" s="26">
        <f t="shared" si="25"/>
        <v>0.29142939024539583</v>
      </c>
      <c r="E145" s="26">
        <f>IF(A145&gt;200,"",IF($C$1='Adj-Mixed'!$A$21,VLOOKUP(A145,'800'!$A$7:$AB$188,9,FALSE),IF($C$1='Adj-Mixed'!$A$20,VLOOKUP(A145,'800'!$A$7:$AB$188,18,FALSE),IF($C$1='Adj-Mixed'!$A$19,VLOOKUP(A145,'800'!$A$7:$AB$188,27,FALSE)))))</f>
        <v>3.4313629080373733</v>
      </c>
      <c r="F145" s="26">
        <f t="shared" si="20"/>
        <v>3.043006866585118</v>
      </c>
      <c r="G145" s="27">
        <f t="shared" si="27"/>
        <v>255.08747980872784</v>
      </c>
      <c r="H145" s="1"/>
      <c r="I145" s="127">
        <f t="shared" si="26"/>
        <v>180.72618975504531</v>
      </c>
      <c r="J145" s="25">
        <f>IF(A145&gt;200,"",C145*'Adj-Gilts'!$C$6)</f>
        <v>1393.8045754674731</v>
      </c>
      <c r="K145" s="26">
        <f>IF(A145&gt;200,"",D145*'Adj-Gilts'!$C$7)</f>
        <v>0.18269769830839955</v>
      </c>
      <c r="L145" s="1">
        <f t="shared" si="21"/>
        <v>5.473522705863366</v>
      </c>
      <c r="M145" s="26">
        <f t="shared" si="22"/>
        <v>7.6290209913574634</v>
      </c>
      <c r="N145" s="30">
        <f t="shared" si="28"/>
        <v>639.52131014319662</v>
      </c>
    </row>
    <row r="146" spans="1:14" x14ac:dyDescent="0.25">
      <c r="A146" s="114">
        <f t="shared" si="23"/>
        <v>164</v>
      </c>
      <c r="B146" s="127">
        <f>IF(A146&gt;200,"",IF($C$1='Adj-Mixed'!$A$21,VLOOKUP(A146,'800'!$A$6:$AB$188,3,FALSE),IF($C$1='Adj-Mixed'!$A$20,VLOOKUP(A146,'800'!$A$6:$AB$188,12,FALSE),IF($C$1='Adj-Mixed'!$A$19,VLOOKUP(A146,'800'!$A$6:$AB$188,21,FALSE)))))</f>
        <v>114.33741315850452</v>
      </c>
      <c r="C146" s="126">
        <f t="shared" si="24"/>
        <v>884.15925385383787</v>
      </c>
      <c r="D146" s="26">
        <f t="shared" si="25"/>
        <v>0.28973255480430199</v>
      </c>
      <c r="E146" s="26">
        <f>IF(A146&gt;200,"",IF($C$1='Adj-Mixed'!$A$21,VLOOKUP(A146,'800'!$A$7:$AB$188,9,FALSE),IF($C$1='Adj-Mixed'!$A$20,VLOOKUP(A146,'800'!$A$7:$AB$188,18,FALSE),IF($C$1='Adj-Mixed'!$A$19,VLOOKUP(A146,'800'!$A$7:$AB$188,27,FALSE)))))</f>
        <v>3.4514588830911443</v>
      </c>
      <c r="F146" s="26">
        <f t="shared" si="20"/>
        <v>3.0516393107810669</v>
      </c>
      <c r="G146" s="27">
        <f t="shared" si="27"/>
        <v>258.1391191195089</v>
      </c>
      <c r="H146" s="1"/>
      <c r="I146" s="127">
        <f t="shared" si="26"/>
        <v>182.11580990405307</v>
      </c>
      <c r="J146" s="25">
        <f>IF(A146&gt;200,"",C146*'Adj-Gilts'!$C$6)</f>
        <v>1389.6201490077647</v>
      </c>
      <c r="K146" s="26">
        <f>IF(A146&gt;200,"",D146*'Adj-Gilts'!$C$7)</f>
        <v>0.18163394859792964</v>
      </c>
      <c r="L146" s="1">
        <f t="shared" si="21"/>
        <v>5.5055787077207139</v>
      </c>
      <c r="M146" s="26">
        <f t="shared" si="22"/>
        <v>7.650663104196834</v>
      </c>
      <c r="N146" s="30">
        <f t="shared" si="28"/>
        <v>647.17197324739345</v>
      </c>
    </row>
    <row r="147" spans="1:14" x14ac:dyDescent="0.25">
      <c r="A147" s="114">
        <f t="shared" si="23"/>
        <v>165</v>
      </c>
      <c r="B147" s="127">
        <f>IF(A147&gt;200,"",IF($C$1='Adj-Mixed'!$A$21,VLOOKUP(A147,'800'!$A$6:$AB$188,3,FALSE),IF($C$1='Adj-Mixed'!$A$20,VLOOKUP(A147,'800'!$A$6:$AB$188,12,FALSE),IF($C$1='Adj-Mixed'!$A$19,VLOOKUP(A147,'800'!$A$6:$AB$188,21,FALSE)))))</f>
        <v>115.21886788971382</v>
      </c>
      <c r="C147" s="126">
        <f t="shared" si="24"/>
        <v>881.45473120930262</v>
      </c>
      <c r="D147" s="26">
        <f t="shared" si="25"/>
        <v>0.28804461560333261</v>
      </c>
      <c r="E147" s="26">
        <f>IF(A147&gt;200,"",IF($C$1='Adj-Mixed'!$A$21,VLOOKUP(A147,'800'!$A$7:$AB$188,9,FALSE),IF($C$1='Adj-Mixed'!$A$20,VLOOKUP(A147,'800'!$A$7:$AB$188,18,FALSE),IF($C$1='Adj-Mixed'!$A$19,VLOOKUP(A147,'800'!$A$7:$AB$188,27,FALSE)))))</f>
        <v>3.4716844052280567</v>
      </c>
      <c r="F147" s="26">
        <f t="shared" si="20"/>
        <v>3.0601326442538244</v>
      </c>
      <c r="G147" s="27">
        <f t="shared" si="27"/>
        <v>261.19925176376273</v>
      </c>
      <c r="H147" s="1"/>
      <c r="I147" s="127">
        <f t="shared" si="26"/>
        <v>183.50117939443354</v>
      </c>
      <c r="J147" s="25">
        <f>IF(A147&gt;200,"",C147*'Adj-Gilts'!$C$6)</f>
        <v>1385.3694903804726</v>
      </c>
      <c r="K147" s="26">
        <f>IF(A147&gt;200,"",D147*'Adj-Gilts'!$C$7)</f>
        <v>0.18057577595912352</v>
      </c>
      <c r="L147" s="1">
        <f t="shared" si="21"/>
        <v>5.5378413560098307</v>
      </c>
      <c r="M147" s="26">
        <f t="shared" si="22"/>
        <v>7.6719564571832439</v>
      </c>
      <c r="N147" s="30">
        <f t="shared" si="28"/>
        <v>654.84392970457668</v>
      </c>
    </row>
    <row r="148" spans="1:14" x14ac:dyDescent="0.25">
      <c r="A148" s="114">
        <f t="shared" si="23"/>
        <v>166</v>
      </c>
      <c r="B148" s="127">
        <f>IF(A148&gt;200,"",IF($C$1='Adj-Mixed'!$A$21,VLOOKUP(A148,'800'!$A$6:$AB$188,3,FALSE),IF($C$1='Adj-Mixed'!$A$20,VLOOKUP(A148,'800'!$A$6:$AB$188,12,FALSE),IF($C$1='Adj-Mixed'!$A$19,VLOOKUP(A148,'800'!$A$6:$AB$188,21,FALSE)))))</f>
        <v>116.09757720017137</v>
      </c>
      <c r="C148" s="126">
        <f t="shared" si="24"/>
        <v>878.70931045755185</v>
      </c>
      <c r="D148" s="26">
        <f t="shared" si="25"/>
        <v>0.2863654731847261</v>
      </c>
      <c r="E148" s="26">
        <f>IF(A148&gt;200,"",IF($C$1='Adj-Mixed'!$A$21,VLOOKUP(A148,'800'!$A$7:$AB$188,9,FALSE),IF($C$1='Adj-Mixed'!$A$20,VLOOKUP(A148,'800'!$A$7:$AB$188,18,FALSE),IF($C$1='Adj-Mixed'!$A$19,VLOOKUP(A148,'800'!$A$7:$AB$188,27,FALSE)))))</f>
        <v>3.4920410930787349</v>
      </c>
      <c r="F148" s="26">
        <f t="shared" si="20"/>
        <v>3.0684890209886508</v>
      </c>
      <c r="G148" s="27">
        <f t="shared" si="27"/>
        <v>264.26774078475137</v>
      </c>
      <c r="H148" s="1"/>
      <c r="I148" s="127">
        <f t="shared" si="26"/>
        <v>184.88223394723065</v>
      </c>
      <c r="J148" s="25">
        <f>IF(A148&gt;200,"",C148*'Adj-Gilts'!$C$6)</f>
        <v>1381.0545527971042</v>
      </c>
      <c r="K148" s="26">
        <f>IF(A148&gt;200,"",D148*'Adj-Gilts'!$C$7)</f>
        <v>0.1795231180417011</v>
      </c>
      <c r="L148" s="1">
        <f t="shared" si="21"/>
        <v>5.5703132326818867</v>
      </c>
      <c r="M148" s="26">
        <f t="shared" si="22"/>
        <v>7.6929064505012743</v>
      </c>
      <c r="N148" s="30">
        <f t="shared" si="28"/>
        <v>662.53683615507794</v>
      </c>
    </row>
    <row r="149" spans="1:14" x14ac:dyDescent="0.25">
      <c r="A149" s="114">
        <f t="shared" si="23"/>
        <v>167</v>
      </c>
      <c r="B149" s="127">
        <f>IF(A149&gt;200,"",IF($C$1='Adj-Mixed'!$A$21,VLOOKUP(A149,'800'!$A$6:$AB$188,3,FALSE),IF($C$1='Adj-Mixed'!$A$20,VLOOKUP(A149,'800'!$A$6:$AB$188,12,FALSE),IF($C$1='Adj-Mixed'!$A$19,VLOOKUP(A149,'800'!$A$6:$AB$188,21,FALSE)))))</f>
        <v>116.97350141852459</v>
      </c>
      <c r="C149" s="126">
        <f t="shared" si="24"/>
        <v>875.92421835321943</v>
      </c>
      <c r="D149" s="26">
        <f t="shared" si="25"/>
        <v>0.28469503291934856</v>
      </c>
      <c r="E149" s="26">
        <f>IF(A149&gt;200,"",IF($C$1='Adj-Mixed'!$A$21,VLOOKUP(A149,'800'!$A$7:$AB$188,9,FALSE),IF($C$1='Adj-Mixed'!$A$20,VLOOKUP(A149,'800'!$A$7:$AB$188,18,FALSE),IF($C$1='Adj-Mixed'!$A$19,VLOOKUP(A149,'800'!$A$7:$AB$188,27,FALSE)))))</f>
        <v>3.5125305480243156</v>
      </c>
      <c r="F149" s="26">
        <f t="shared" si="20"/>
        <v>3.0767105747200039</v>
      </c>
      <c r="G149" s="27">
        <f t="shared" si="27"/>
        <v>267.34445135947135</v>
      </c>
      <c r="H149" s="1"/>
      <c r="I149" s="127">
        <f t="shared" si="26"/>
        <v>186.25891121156059</v>
      </c>
      <c r="J149" s="25">
        <f>IF(A149&gt;200,"",C149*'Adj-Gilts'!$C$6)</f>
        <v>1376.6772643299491</v>
      </c>
      <c r="K149" s="26">
        <f>IF(A149&gt;200,"",D149*'Adj-Gilts'!$C$7)</f>
        <v>0.17847591552245906</v>
      </c>
      <c r="L149" s="1">
        <f t="shared" si="21"/>
        <v>5.6029968921726132</v>
      </c>
      <c r="M149" s="26">
        <f t="shared" si="22"/>
        <v>7.713518433565401</v>
      </c>
      <c r="N149" s="30">
        <f t="shared" si="28"/>
        <v>670.25035458864329</v>
      </c>
    </row>
    <row r="150" spans="1:14" x14ac:dyDescent="0.25">
      <c r="A150" s="114">
        <f t="shared" si="23"/>
        <v>168</v>
      </c>
      <c r="B150" s="127">
        <f>IF(A150&gt;200,"",IF($C$1='Adj-Mixed'!$A$21,VLOOKUP(A150,'800'!$A$6:$AB$188,3,FALSE),IF($C$1='Adj-Mixed'!$A$20,VLOOKUP(A150,'800'!$A$6:$AB$188,12,FALSE),IF($C$1='Adj-Mixed'!$A$19,VLOOKUP(A150,'800'!$A$6:$AB$188,21,FALSE)))))</f>
        <v>117.84660208406949</v>
      </c>
      <c r="C150" s="126">
        <f t="shared" si="24"/>
        <v>873.10066554489651</v>
      </c>
      <c r="D150" s="26">
        <f t="shared" si="25"/>
        <v>0.28303320479808197</v>
      </c>
      <c r="E150" s="26">
        <f>IF(A150&gt;200,"",IF($C$1='Adj-Mixed'!$A$21,VLOOKUP(A150,'800'!$A$7:$AB$188,9,FALSE),IF($C$1='Adj-Mixed'!$A$20,VLOOKUP(A150,'800'!$A$7:$AB$188,18,FALSE),IF($C$1='Adj-Mixed'!$A$19,VLOOKUP(A150,'800'!$A$7:$AB$188,27,FALSE)))))</f>
        <v>3.533154354498468</v>
      </c>
      <c r="F150" s="26">
        <f t="shared" si="20"/>
        <v>3.0847994183854617</v>
      </c>
      <c r="G150" s="27">
        <f t="shared" si="27"/>
        <v>270.42925077785679</v>
      </c>
      <c r="H150" s="1"/>
      <c r="I150" s="127">
        <f t="shared" si="26"/>
        <v>187.63115073929825</v>
      </c>
      <c r="J150" s="25">
        <f>IF(A150&gt;200,"",C150*'Adj-Gilts'!$C$6)</f>
        <v>1372.2395277376661</v>
      </c>
      <c r="K150" s="26">
        <f>IF(A150&gt;200,"",D150*'Adj-Gilts'!$C$7)</f>
        <v>0.17743411197449185</v>
      </c>
      <c r="L150" s="1">
        <f t="shared" si="21"/>
        <v>5.6358948618840623</v>
      </c>
      <c r="M150" s="26">
        <f t="shared" si="22"/>
        <v>7.7337977036509242</v>
      </c>
      <c r="N150" s="30">
        <f t="shared" si="28"/>
        <v>677.9841522922942</v>
      </c>
    </row>
    <row r="151" spans="1:14" x14ac:dyDescent="0.25">
      <c r="A151" s="114">
        <f t="shared" si="23"/>
        <v>169</v>
      </c>
      <c r="B151" s="127">
        <f>IF(A151&gt;200,"",IF($C$1='Adj-Mixed'!$A$21,VLOOKUP(A151,'800'!$A$6:$AB$188,3,FALSE),IF($C$1='Adj-Mixed'!$A$20,VLOOKUP(A151,'800'!$A$6:$AB$188,12,FALSE),IF($C$1='Adj-Mixed'!$A$19,VLOOKUP(A151,'800'!$A$6:$AB$188,21,FALSE)))))</f>
        <v>118.71684193054777</v>
      </c>
      <c r="C151" s="126">
        <f t="shared" si="24"/>
        <v>870.23984647828456</v>
      </c>
      <c r="D151" s="26">
        <f t="shared" si="25"/>
        <v>0.28137990323028472</v>
      </c>
      <c r="E151" s="26">
        <f>IF(A151&gt;200,"",IF($C$1='Adj-Mixed'!$A$21,VLOOKUP(A151,'800'!$A$7:$AB$188,9,FALSE),IF($C$1='Adj-Mixed'!$A$20,VLOOKUP(A151,'800'!$A$7:$AB$188,18,FALSE),IF($C$1='Adj-Mixed'!$A$19,VLOOKUP(A151,'800'!$A$7:$AB$188,27,FALSE)))))</f>
        <v>3.5539140802873468</v>
      </c>
      <c r="F151" s="26">
        <f t="shared" si="20"/>
        <v>3.0927576436262743</v>
      </c>
      <c r="G151" s="27">
        <f t="shared" si="27"/>
        <v>273.52200842148306</v>
      </c>
      <c r="H151" s="1"/>
      <c r="I151" s="127">
        <f t="shared" si="26"/>
        <v>188.99889395961131</v>
      </c>
      <c r="J151" s="25">
        <f>IF(A151&gt;200,"",C151*'Adj-Gilts'!$C$6)</f>
        <v>1367.7432203130686</v>
      </c>
      <c r="K151" s="26">
        <f>IF(A151&gt;200,"",D151*'Adj-Gilts'!$C$7)</f>
        <v>0.17639765374084601</v>
      </c>
      <c r="L151" s="1">
        <f t="shared" si="21"/>
        <v>5.6690096426630845</v>
      </c>
      <c r="M151" s="26">
        <f t="shared" si="22"/>
        <v>7.7537495046418456</v>
      </c>
      <c r="N151" s="30">
        <f t="shared" si="28"/>
        <v>685.73790179693606</v>
      </c>
    </row>
    <row r="152" spans="1:14" x14ac:dyDescent="0.25">
      <c r="A152" s="114">
        <f t="shared" si="23"/>
        <v>170</v>
      </c>
      <c r="B152" s="127">
        <f>IF(A152&gt;200,"",IF($C$1='Adj-Mixed'!$A$21,VLOOKUP(A152,'800'!$A$6:$AB$188,3,FALSE),IF($C$1='Adj-Mixed'!$A$20,VLOOKUP(A152,'800'!$A$6:$AB$188,12,FALSE),IF($C$1='Adj-Mixed'!$A$19,VLOOKUP(A152,'800'!$A$6:$AB$188,21,FALSE)))))</f>
        <v>119.5841848698596</v>
      </c>
      <c r="C152" s="126">
        <f t="shared" si="24"/>
        <v>867.34293931182549</v>
      </c>
      <c r="D152" s="26">
        <f t="shared" si="25"/>
        <v>0.27973504684873113</v>
      </c>
      <c r="E152" s="26">
        <f>IF(A152&gt;200,"",IF($C$1='Adj-Mixed'!$A$21,VLOOKUP(A152,'800'!$A$7:$AB$188,9,FALSE),IF($C$1='Adj-Mixed'!$A$20,VLOOKUP(A152,'800'!$A$7:$AB$188,18,FALSE),IF($C$1='Adj-Mixed'!$A$19,VLOOKUP(A152,'800'!$A$7:$AB$188,27,FALSE)))))</f>
        <v>3.5748112768321008</v>
      </c>
      <c r="F152" s="26">
        <f t="shared" si="20"/>
        <v>3.1005873203326142</v>
      </c>
      <c r="G152" s="27">
        <f t="shared" si="27"/>
        <v>276.6225957418157</v>
      </c>
      <c r="H152" s="1"/>
      <c r="I152" s="127">
        <f t="shared" si="26"/>
        <v>190.36208415336182</v>
      </c>
      <c r="J152" s="25">
        <f>IF(A152&gt;200,"",C152*'Adj-Gilts'!$C$6)</f>
        <v>1363.1901937505236</v>
      </c>
      <c r="K152" s="26">
        <f>IF(A152&gt;200,"",D152*'Adj-Gilts'!$C$7)</f>
        <v>0.17536648981223646</v>
      </c>
      <c r="L152" s="1">
        <f t="shared" si="21"/>
        <v>5.7023437092838671</v>
      </c>
      <c r="M152" s="26">
        <f t="shared" si="22"/>
        <v>7.7733790258907547</v>
      </c>
      <c r="N152" s="30">
        <f t="shared" si="28"/>
        <v>693.51128082282685</v>
      </c>
    </row>
    <row r="153" spans="1:14" x14ac:dyDescent="0.25">
      <c r="A153" s="114">
        <f t="shared" si="23"/>
        <v>171</v>
      </c>
      <c r="B153" s="127">
        <f>IF(A153&gt;200,"",IF($C$1='Adj-Mixed'!$A$21,VLOOKUP(A153,'800'!$A$6:$AB$188,3,FALSE),IF($C$1='Adj-Mixed'!$A$20,VLOOKUP(A153,'800'!$A$6:$AB$188,12,FALSE),IF($C$1='Adj-Mixed'!$A$19,VLOOKUP(A153,'800'!$A$6:$AB$188,21,FALSE)))))</f>
        <v>120.4485959757054</v>
      </c>
      <c r="C153" s="126">
        <f t="shared" si="24"/>
        <v>864.41110584580372</v>
      </c>
      <c r="D153" s="26">
        <f t="shared" si="25"/>
        <v>0.27809855832130387</v>
      </c>
      <c r="E153" s="26">
        <f>IF(A153&gt;200,"",IF($C$1='Adj-Mixed'!$A$21,VLOOKUP(A153,'800'!$A$7:$AB$188,9,FALSE),IF($C$1='Adj-Mixed'!$A$20,VLOOKUP(A153,'800'!$A$7:$AB$188,18,FALSE),IF($C$1='Adj-Mixed'!$A$19,VLOOKUP(A153,'800'!$A$7:$AB$188,27,FALSE)))))</f>
        <v>3.5958474795278885</v>
      </c>
      <c r="F153" s="26">
        <f t="shared" si="20"/>
        <v>3.1082904962315485</v>
      </c>
      <c r="G153" s="27">
        <f t="shared" si="27"/>
        <v>279.73088623804728</v>
      </c>
      <c r="H153" s="1"/>
      <c r="I153" s="127">
        <f t="shared" si="26"/>
        <v>191.72066642739634</v>
      </c>
      <c r="J153" s="25">
        <f>IF(A153&gt;200,"",C153*'Adj-Gilts'!$C$6)</f>
        <v>1358.5822740345211</v>
      </c>
      <c r="K153" s="26">
        <f>IF(A153&gt;200,"",D153*'Adj-Gilts'!$C$7)</f>
        <v>0.17434057170899608</v>
      </c>
      <c r="L153" s="1">
        <f t="shared" si="21"/>
        <v>5.7358995109249111</v>
      </c>
      <c r="M153" s="26">
        <f t="shared" si="22"/>
        <v>7.7926914011858628</v>
      </c>
      <c r="N153" s="30">
        <f t="shared" si="28"/>
        <v>701.30397222401268</v>
      </c>
    </row>
    <row r="154" spans="1:14" x14ac:dyDescent="0.25">
      <c r="A154" s="114">
        <f t="shared" si="23"/>
        <v>172</v>
      </c>
      <c r="B154" s="127">
        <f>IF(A154&gt;200,"",IF($C$1='Adj-Mixed'!$A$21,VLOOKUP(A154,'800'!$A$6:$AB$188,3,FALSE),IF($C$1='Adj-Mixed'!$A$20,VLOOKUP(A154,'800'!$A$6:$AB$188,12,FALSE),IF($C$1='Adj-Mixed'!$A$19,VLOOKUP(A154,'800'!$A$6:$AB$188,21,FALSE)))))</f>
        <v>121.31004146716846</v>
      </c>
      <c r="C154" s="126">
        <f t="shared" si="24"/>
        <v>861.44549146305849</v>
      </c>
      <c r="D154" s="26">
        <f t="shared" si="25"/>
        <v>0.27647036416878495</v>
      </c>
      <c r="E154" s="26">
        <f>IF(A154&gt;200,"",IF($C$1='Adj-Mixed'!$A$21,VLOOKUP(A154,'800'!$A$7:$AB$188,9,FALSE),IF($C$1='Adj-Mixed'!$A$20,VLOOKUP(A154,'800'!$A$7:$AB$188,18,FALSE),IF($C$1='Adj-Mixed'!$A$19,VLOOKUP(A154,'800'!$A$7:$AB$188,27,FALSE)))))</f>
        <v>3.6170242080250623</v>
      </c>
      <c r="F154" s="26">
        <f t="shared" si="20"/>
        <v>3.1158691965159298</v>
      </c>
      <c r="G154" s="27">
        <f t="shared" si="27"/>
        <v>282.84675543456319</v>
      </c>
      <c r="H154" s="1"/>
      <c r="I154" s="127">
        <f t="shared" si="26"/>
        <v>193.07458768874284</v>
      </c>
      <c r="J154" s="25">
        <f>IF(A154&gt;200,"",C154*'Adj-Gilts'!$C$6)</f>
        <v>1353.9212613464931</v>
      </c>
      <c r="K154" s="26">
        <f>IF(A154&gt;200,"",D154*'Adj-Gilts'!$C$7)</f>
        <v>0.17331985336684835</v>
      </c>
      <c r="L154" s="1">
        <f t="shared" si="21"/>
        <v>5.7696794716494626</v>
      </c>
      <c r="M154" s="26">
        <f t="shared" si="22"/>
        <v>7.8116917078206081</v>
      </c>
      <c r="N154" s="30">
        <f t="shared" si="28"/>
        <v>709.1156639318333</v>
      </c>
    </row>
    <row r="155" spans="1:14" x14ac:dyDescent="0.25">
      <c r="A155" s="114">
        <f t="shared" si="23"/>
        <v>173</v>
      </c>
      <c r="B155" s="127">
        <f>IF(A155&gt;200,"",IF($C$1='Adj-Mixed'!$A$21,VLOOKUP(A155,'800'!$A$6:$AB$188,3,FALSE),IF($C$1='Adj-Mixed'!$A$20,VLOOKUP(A155,'800'!$A$6:$AB$188,12,FALSE),IF($C$1='Adj-Mixed'!$A$19,VLOOKUP(A155,'800'!$A$6:$AB$188,21,FALSE)))))</f>
        <v>122.16848869225055</v>
      </c>
      <c r="C155" s="126">
        <f t="shared" si="24"/>
        <v>858.44722508208804</v>
      </c>
      <c r="D155" s="26">
        <f t="shared" si="25"/>
        <v>0.27485039458895638</v>
      </c>
      <c r="E155" s="26">
        <f>IF(A155&gt;200,"",IF($C$1='Adj-Mixed'!$A$21,VLOOKUP(A155,'800'!$A$7:$AB$188,9,FALSE),IF($C$1='Adj-Mixed'!$A$20,VLOOKUP(A155,'800'!$A$7:$AB$188,18,FALSE),IF($C$1='Adj-Mixed'!$A$19,VLOOKUP(A155,'800'!$A$7:$AB$188,27,FALSE)))))</f>
        <v>3.6383429665273632</v>
      </c>
      <c r="F155" s="26">
        <f t="shared" si="20"/>
        <v>3.1233254235123473</v>
      </c>
      <c r="G155" s="27">
        <f t="shared" si="27"/>
        <v>285.97008085807556</v>
      </c>
      <c r="H155" s="1"/>
      <c r="I155" s="127">
        <f t="shared" si="26"/>
        <v>194.42379661873395</v>
      </c>
      <c r="J155" s="25">
        <f>IF(A155&gt;200,"",C155*'Adj-Gilts'!$C$6)</f>
        <v>1349.2089299911083</v>
      </c>
      <c r="K155" s="26">
        <f>IF(A155&gt;200,"",D155*'Adj-Gilts'!$C$7)</f>
        <v>0.17230429102663589</v>
      </c>
      <c r="L155" s="1">
        <f t="shared" si="21"/>
        <v>5.8036859908811769</v>
      </c>
      <c r="M155" s="26">
        <f t="shared" si="22"/>
        <v>7.8303849657611782</v>
      </c>
      <c r="N155" s="30">
        <f t="shared" si="28"/>
        <v>716.94604889759444</v>
      </c>
    </row>
    <row r="156" spans="1:14" x14ac:dyDescent="0.25">
      <c r="A156" s="114">
        <f t="shared" si="23"/>
        <v>174</v>
      </c>
      <c r="B156" s="127">
        <f>IF(A156&gt;200,"",IF($C$1='Adj-Mixed'!$A$21,VLOOKUP(A156,'800'!$A$6:$AB$188,3,FALSE),IF($C$1='Adj-Mixed'!$A$20,VLOOKUP(A156,'800'!$A$6:$AB$188,12,FALSE),IF($C$1='Adj-Mixed'!$A$19,VLOOKUP(A156,'800'!$A$6:$AB$188,21,FALSE)))))</f>
        <v>123.02390611137204</v>
      </c>
      <c r="C156" s="126">
        <f t="shared" si="24"/>
        <v>855.41741912149405</v>
      </c>
      <c r="D156" s="26">
        <f t="shared" si="25"/>
        <v>0.27323858328662975</v>
      </c>
      <c r="E156" s="26">
        <f>IF(A156&gt;200,"",IF($C$1='Adj-Mixed'!$A$21,VLOOKUP(A156,'800'!$A$7:$AB$188,9,FALSE),IF($C$1='Adj-Mixed'!$A$20,VLOOKUP(A156,'800'!$A$7:$AB$188,18,FALSE),IF($C$1='Adj-Mixed'!$A$19,VLOOKUP(A156,'800'!$A$7:$AB$188,27,FALSE)))))</f>
        <v>3.659805244089525</v>
      </c>
      <c r="F156" s="26">
        <f t="shared" si="20"/>
        <v>3.1306611563863713</v>
      </c>
      <c r="G156" s="27">
        <f t="shared" si="27"/>
        <v>289.10074201446196</v>
      </c>
      <c r="H156" s="1"/>
      <c r="I156" s="127">
        <f t="shared" si="26"/>
        <v>195.76824364707434</v>
      </c>
      <c r="J156" s="25">
        <f>IF(A156&gt;200,"",C156*'Adj-Gilts'!$C$6)</f>
        <v>1344.4470283403891</v>
      </c>
      <c r="K156" s="26">
        <f>IF(A156&gt;200,"",D156*'Adj-Gilts'!$C$7)</f>
        <v>0.17129384312776549</v>
      </c>
      <c r="L156" s="1">
        <f t="shared" si="21"/>
        <v>5.8379214438788383</v>
      </c>
      <c r="M156" s="26">
        <f t="shared" si="22"/>
        <v>7.8487761369075377</v>
      </c>
      <c r="N156" s="30">
        <f t="shared" si="28"/>
        <v>724.79482503450197</v>
      </c>
    </row>
    <row r="157" spans="1:14" x14ac:dyDescent="0.25">
      <c r="A157" s="114">
        <f t="shared" si="23"/>
        <v>175</v>
      </c>
      <c r="B157" s="127">
        <f>IF(A157&gt;200,"",IF($C$1='Adj-Mixed'!$A$21,VLOOKUP(A157,'800'!$A$6:$AB$188,3,FALSE),IF($C$1='Adj-Mixed'!$A$20,VLOOKUP(A157,'800'!$A$6:$AB$188,12,FALSE),IF($C$1='Adj-Mixed'!$A$19,VLOOKUP(A157,'800'!$A$6:$AB$188,21,FALSE)))))</f>
        <v>123.87626328084778</v>
      </c>
      <c r="C157" s="126">
        <f t="shared" si="24"/>
        <v>852.35716947573792</v>
      </c>
      <c r="D157" s="26">
        <f t="shared" si="25"/>
        <v>0.27163486730955605</v>
      </c>
      <c r="E157" s="26">
        <f>IF(A157&gt;200,"",IF($C$1='Adj-Mixed'!$A$21,VLOOKUP(A157,'800'!$A$7:$AB$188,9,FALSE),IF($C$1='Adj-Mixed'!$A$20,VLOOKUP(A157,'800'!$A$7:$AB$188,18,FALSE),IF($C$1='Adj-Mixed'!$A$19,VLOOKUP(A157,'800'!$A$7:$AB$188,27,FALSE)))))</f>
        <v>3.6814125149125152</v>
      </c>
      <c r="F157" s="26">
        <f t="shared" si="20"/>
        <v>3.1378783508833896</v>
      </c>
      <c r="G157" s="27">
        <f t="shared" si="27"/>
        <v>292.23862036534535</v>
      </c>
      <c r="H157" s="1"/>
      <c r="I157" s="127">
        <f t="shared" si="26"/>
        <v>197.10788092586995</v>
      </c>
      <c r="J157" s="25">
        <f>IF(A157&gt;200,"",C157*'Adj-Gilts'!$C$6)</f>
        <v>1339.6372787956091</v>
      </c>
      <c r="K157" s="26">
        <f>IF(A157&gt;200,"",D157*'Adj-Gilts'!$C$7)</f>
        <v>0.17028847020533974</v>
      </c>
      <c r="L157" s="1">
        <f t="shared" si="21"/>
        <v>5.8723881822073176</v>
      </c>
      <c r="M157" s="26">
        <f t="shared" si="22"/>
        <v>7.8668701244437038</v>
      </c>
      <c r="N157" s="30">
        <f t="shared" si="28"/>
        <v>732.66169515894569</v>
      </c>
    </row>
    <row r="158" spans="1:14" x14ac:dyDescent="0.25">
      <c r="A158" s="114">
        <f t="shared" si="23"/>
        <v>176</v>
      </c>
      <c r="B158" s="127">
        <f>IF(A158&gt;200,"",IF($C$1='Adj-Mixed'!$A$21,VLOOKUP(A158,'800'!$A$6:$AB$188,3,FALSE),IF($C$1='Adj-Mixed'!$A$20,VLOOKUP(A158,'800'!$A$6:$AB$188,12,FALSE),IF($C$1='Adj-Mixed'!$A$19,VLOOKUP(A158,'800'!$A$6:$AB$188,21,FALSE)))))</f>
        <v>124.72553083634888</v>
      </c>
      <c r="C158" s="126">
        <f t="shared" si="24"/>
        <v>849.26755550110045</v>
      </c>
      <c r="D158" s="26">
        <f t="shared" si="25"/>
        <v>0.27003918688982559</v>
      </c>
      <c r="E158" s="26">
        <f>IF(A158&gt;200,"",IF($C$1='Adj-Mixed'!$A$21,VLOOKUP(A158,'800'!$A$7:$AB$188,9,FALSE),IF($C$1='Adj-Mixed'!$A$20,VLOOKUP(A158,'800'!$A$7:$AB$188,18,FALSE),IF($C$1='Adj-Mixed'!$A$19,VLOOKUP(A158,'800'!$A$7:$AB$188,27,FALSE)))))</f>
        <v>3.7031662386392612</v>
      </c>
      <c r="F158" s="26">
        <f t="shared" si="20"/>
        <v>3.1449789391033702</v>
      </c>
      <c r="G158" s="27">
        <f t="shared" si="27"/>
        <v>295.38359930444875</v>
      </c>
      <c r="H158" s="1"/>
      <c r="I158" s="127">
        <f t="shared" si="26"/>
        <v>198.44266230363519</v>
      </c>
      <c r="J158" s="25">
        <f>IF(A158&gt;200,"",C158*'Adj-Gilts'!$C$6)</f>
        <v>1334.7813777652252</v>
      </c>
      <c r="K158" s="26">
        <f>IF(A158&gt;200,"",D158*'Adj-Gilts'!$C$7)</f>
        <v>0.16928813479073018</v>
      </c>
      <c r="L158" s="1">
        <f t="shared" si="21"/>
        <v>5.9070885342092954</v>
      </c>
      <c r="M158" s="26">
        <f t="shared" si="22"/>
        <v>7.8846717722730491</v>
      </c>
      <c r="N158" s="30">
        <f t="shared" si="28"/>
        <v>740.5463669312187</v>
      </c>
    </row>
    <row r="159" spans="1:14" x14ac:dyDescent="0.25">
      <c r="A159" s="114">
        <f t="shared" si="23"/>
        <v>177</v>
      </c>
      <c r="B159" s="127">
        <f>IF(A159&gt;200,"",IF($C$1='Adj-Mixed'!$A$21,VLOOKUP(A159,'800'!$A$6:$AB$188,3,FALSE),IF($C$1='Adj-Mixed'!$A$20,VLOOKUP(A159,'800'!$A$6:$AB$188,12,FALSE),IF($C$1='Adj-Mixed'!$A$19,VLOOKUP(A159,'800'!$A$6:$AB$188,21,FALSE)))))</f>
        <v>125.57168047636166</v>
      </c>
      <c r="C159" s="126">
        <f t="shared" si="24"/>
        <v>846.14964001278281</v>
      </c>
      <c r="D159" s="26">
        <f t="shared" si="25"/>
        <v>0.26845148529102508</v>
      </c>
      <c r="E159" s="26">
        <f>IF(A159&gt;200,"",IF($C$1='Adj-Mixed'!$A$21,VLOOKUP(A159,'800'!$A$7:$AB$188,9,FALSE),IF($C$1='Adj-Mixed'!$A$20,VLOOKUP(A159,'800'!$A$7:$AB$188,18,FALSE),IF($C$1='Adj-Mixed'!$A$19,VLOOKUP(A159,'800'!$A$7:$AB$188,27,FALSE)))))</f>
        <v>3.7250678606449572</v>
      </c>
      <c r="F159" s="26">
        <f t="shared" si="20"/>
        <v>3.1519648293079174</v>
      </c>
      <c r="G159" s="27">
        <f t="shared" si="27"/>
        <v>298.53556413375668</v>
      </c>
      <c r="H159" s="1"/>
      <c r="I159" s="127">
        <f t="shared" si="26"/>
        <v>199.77254329929551</v>
      </c>
      <c r="J159" s="25">
        <f>IF(A159&gt;200,"",C159*'Adj-Gilts'!$C$6)</f>
        <v>1329.8809956603225</v>
      </c>
      <c r="K159" s="26">
        <f>IF(A159&gt;200,"",D159*'Adj-Gilts'!$C$7)</f>
        <v>0.16829280131575991</v>
      </c>
      <c r="L159" s="1">
        <f t="shared" si="21"/>
        <v>5.9420248054683382</v>
      </c>
      <c r="M159" s="26">
        <f t="shared" si="22"/>
        <v>7.9021858645345668</v>
      </c>
      <c r="N159" s="30">
        <f t="shared" si="28"/>
        <v>748.44855279575324</v>
      </c>
    </row>
    <row r="160" spans="1:14" x14ac:dyDescent="0.25">
      <c r="A160" s="114">
        <f t="shared" si="23"/>
        <v>178</v>
      </c>
      <c r="B160" s="127">
        <f>IF(A160&gt;200,"",IF($C$1='Adj-Mixed'!$A$21,VLOOKUP(A160,'800'!$A$6:$AB$188,3,FALSE),IF($C$1='Adj-Mixed'!$A$20,VLOOKUP(A160,'800'!$A$6:$AB$188,12,FALSE),IF($C$1='Adj-Mixed'!$A$19,VLOOKUP(A160,'800'!$A$6:$AB$188,21,FALSE)))))</f>
        <v>126.41468494565291</v>
      </c>
      <c r="C160" s="126">
        <f t="shared" si="24"/>
        <v>843.00446929124462</v>
      </c>
      <c r="D160" s="26">
        <f t="shared" si="25"/>
        <v>0.26687170866051119</v>
      </c>
      <c r="E160" s="26">
        <f>IF(A160&gt;200,"",IF($C$1='Adj-Mixed'!$A$21,VLOOKUP(A160,'800'!$A$7:$AB$188,9,FALSE),IF($C$1='Adj-Mixed'!$A$20,VLOOKUP(A160,'800'!$A$7:$AB$188,18,FALSE),IF($C$1='Adj-Mixed'!$A$19,VLOOKUP(A160,'800'!$A$7:$AB$188,27,FALSE)))))</f>
        <v>3.7471188123283046</v>
      </c>
      <c r="F160" s="26">
        <f t="shared" si="20"/>
        <v>3.1588379057580616</v>
      </c>
      <c r="G160" s="27">
        <f t="shared" si="27"/>
        <v>301.69440203951473</v>
      </c>
      <c r="H160" s="1"/>
      <c r="I160" s="127">
        <f t="shared" si="26"/>
        <v>201.09748107620007</v>
      </c>
      <c r="J160" s="25">
        <f>IF(A160&gt;200,"",C160*'Adj-Gilts'!$C$6)</f>
        <v>1324.9377769045741</v>
      </c>
      <c r="K160" s="26">
        <f>IF(A160&gt;200,"",D160*'Adj-Gilts'!$C$7)</f>
        <v>0.16730243602009343</v>
      </c>
      <c r="L160" s="1">
        <f t="shared" si="21"/>
        <v>5.9771992792734805</v>
      </c>
      <c r="M160" s="26">
        <f t="shared" si="22"/>
        <v>7.9194171251962278</v>
      </c>
      <c r="N160" s="30">
        <f t="shared" si="28"/>
        <v>756.36796992094946</v>
      </c>
    </row>
    <row r="161" spans="1:14" x14ac:dyDescent="0.25">
      <c r="A161" s="114">
        <f t="shared" si="23"/>
        <v>179</v>
      </c>
      <c r="B161" s="127">
        <f>IF(A161&gt;200,"",IF($C$1='Adj-Mixed'!$A$21,VLOOKUP(A161,'800'!$A$6:$AB$188,3,FALSE),IF($C$1='Adj-Mixed'!$A$20,VLOOKUP(A161,'800'!$A$6:$AB$188,12,FALSE),IF($C$1='Adj-Mixed'!$A$19,VLOOKUP(A161,'800'!$A$6:$AB$188,21,FALSE)))))</f>
        <v>127.25451801875147</v>
      </c>
      <c r="C161" s="126">
        <f t="shared" si="24"/>
        <v>839.83307309856059</v>
      </c>
      <c r="D161" s="26">
        <f t="shared" si="25"/>
        <v>0.26529980588702018</v>
      </c>
      <c r="E161" s="26">
        <f>IF(A161&gt;200,"",IF($C$1='Adj-Mixed'!$A$21,VLOOKUP(A161,'800'!$A$7:$AB$188,9,FALSE),IF($C$1='Adj-Mixed'!$A$20,VLOOKUP(A161,'800'!$A$7:$AB$188,18,FALSE),IF($C$1='Adj-Mixed'!$A$19,VLOOKUP(A161,'800'!$A$7:$AB$188,27,FALSE)))))</f>
        <v>3.7693205113985537</v>
      </c>
      <c r="F161" s="26">
        <f t="shared" si="20"/>
        <v>3.1656000285812853</v>
      </c>
      <c r="G161" s="27">
        <f t="shared" si="27"/>
        <v>304.86000206809604</v>
      </c>
      <c r="H161" s="1"/>
      <c r="I161" s="127">
        <f t="shared" si="26"/>
        <v>202.41743441616001</v>
      </c>
      <c r="J161" s="25">
        <f>IF(A161&gt;200,"",C161*'Adj-Gilts'!$C$6)</f>
        <v>1319.9533399599502</v>
      </c>
      <c r="K161" s="26">
        <f>IF(A161&gt;200,"",D161*'Adj-Gilts'!$C$7)</f>
        <v>0.16631700686197187</v>
      </c>
      <c r="L161" s="1">
        <f t="shared" si="21"/>
        <v>6.0126142170770898</v>
      </c>
      <c r="M161" s="26">
        <f t="shared" si="22"/>
        <v>7.9363702177215858</v>
      </c>
      <c r="N161" s="30">
        <f t="shared" si="28"/>
        <v>764.30434013867102</v>
      </c>
    </row>
    <row r="162" spans="1:14" x14ac:dyDescent="0.25">
      <c r="A162" s="114">
        <f t="shared" si="23"/>
        <v>180</v>
      </c>
      <c r="B162" s="127">
        <f>IF(A162&gt;200,"",IF($C$1='Adj-Mixed'!$A$21,VLOOKUP(A162,'800'!$A$6:$AB$188,3,FALSE),IF($C$1='Adj-Mixed'!$A$20,VLOOKUP(A162,'800'!$A$6:$AB$188,12,FALSE),IF($C$1='Adj-Mixed'!$A$19,VLOOKUP(A162,'800'!$A$6:$AB$188,21,FALSE)))))</f>
        <v>128.09115448345543</v>
      </c>
      <c r="C162" s="126">
        <f t="shared" si="24"/>
        <v>836.63646470395747</v>
      </c>
      <c r="D162" s="26">
        <f t="shared" si="25"/>
        <v>0.26373572846332077</v>
      </c>
      <c r="E162" s="26">
        <f>IF(A162&gt;200,"",IF($C$1='Adj-Mixed'!$A$21,VLOOKUP(A162,'800'!$A$7:$AB$188,9,FALSE),IF($C$1='Adj-Mixed'!$A$20,VLOOKUP(A162,'800'!$A$7:$AB$188,18,FALSE),IF($C$1='Adj-Mixed'!$A$19,VLOOKUP(A162,'800'!$A$7:$AB$188,27,FALSE)))))</f>
        <v>3.7916743621601334</v>
      </c>
      <c r="F162" s="26">
        <f t="shared" si="20"/>
        <v>3.1722530336662871</v>
      </c>
      <c r="G162" s="27">
        <f t="shared" si="27"/>
        <v>308.0322551017623</v>
      </c>
      <c r="H162" s="1"/>
      <c r="I162" s="127">
        <f t="shared" si="26"/>
        <v>203.73236369352685</v>
      </c>
      <c r="J162" s="25">
        <f>IF(A162&gt;200,"",C162*'Adj-Gilts'!$C$6)</f>
        <v>1314.9292773668528</v>
      </c>
      <c r="K162" s="26">
        <f>IF(A162&gt;200,"",D162*'Adj-Gilts'!$C$7)</f>
        <v>0.16533648343210985</v>
      </c>
      <c r="L162" s="1">
        <f t="shared" si="21"/>
        <v>6.0482718589488931</v>
      </c>
      <c r="M162" s="26">
        <f t="shared" si="22"/>
        <v>7.9530497448059405</v>
      </c>
      <c r="N162" s="30">
        <f t="shared" si="28"/>
        <v>772.257389883477</v>
      </c>
    </row>
    <row r="163" spans="1:14" x14ac:dyDescent="0.25">
      <c r="A163" s="114">
        <f t="shared" si="23"/>
        <v>181</v>
      </c>
      <c r="B163" s="127">
        <f>IF(A163&gt;200,"",IF($C$1='Adj-Mixed'!$A$21,VLOOKUP(A163,'800'!$A$6:$AB$188,3,FALSE),IF($C$1='Adj-Mixed'!$A$20,VLOOKUP(A163,'800'!$A$6:$AB$188,12,FALSE),IF($C$1='Adj-Mixed'!$A$19,VLOOKUP(A163,'800'!$A$6:$AB$188,21,FALSE)))))</f>
        <v>128.92457012437342</v>
      </c>
      <c r="C163" s="126">
        <f t="shared" si="24"/>
        <v>833.41564091799114</v>
      </c>
      <c r="D163" s="26">
        <f t="shared" si="25"/>
        <v>0.26217943035371011</v>
      </c>
      <c r="E163" s="26">
        <f>IF(A163&gt;200,"",IF($C$1='Adj-Mixed'!$A$21,VLOOKUP(A163,'800'!$A$7:$AB$188,9,FALSE),IF($C$1='Adj-Mixed'!$A$20,VLOOKUP(A163,'800'!$A$7:$AB$188,18,FALSE),IF($C$1='Adj-Mixed'!$A$19,VLOOKUP(A163,'800'!$A$7:$AB$188,27,FALSE)))))</f>
        <v>3.8141817557955839</v>
      </c>
      <c r="F163" s="26">
        <f t="shared" si="20"/>
        <v>3.1787987325840854</v>
      </c>
      <c r="G163" s="27">
        <f t="shared" si="27"/>
        <v>311.21105383434639</v>
      </c>
      <c r="H163" s="1"/>
      <c r="I163" s="127">
        <f t="shared" si="26"/>
        <v>205.04223084932468</v>
      </c>
      <c r="J163" s="25">
        <f>IF(A163&gt;200,"",C163*'Adj-Gilts'!$C$6)</f>
        <v>1309.8671557978328</v>
      </c>
      <c r="K163" s="26">
        <f>IF(A163&gt;200,"",D163*'Adj-Gilts'!$C$7)</f>
        <v>0.1643608368706283</v>
      </c>
      <c r="L163" s="1">
        <f t="shared" si="21"/>
        <v>6.0841744240273004</v>
      </c>
      <c r="M163" s="26">
        <f t="shared" si="22"/>
        <v>7.9694602481785566</v>
      </c>
      <c r="N163" s="30">
        <f t="shared" si="28"/>
        <v>780.22685013165551</v>
      </c>
    </row>
    <row r="164" spans="1:14" x14ac:dyDescent="0.25">
      <c r="A164" s="114">
        <f t="shared" si="23"/>
        <v>182</v>
      </c>
      <c r="B164" s="127">
        <f>IF(A164&gt;200,"",IF($C$1='Adj-Mixed'!$A$21,VLOOKUP(A164,'800'!$A$6:$AB$188,3,FALSE),IF($C$1='Adj-Mixed'!$A$20,VLOOKUP(A164,'800'!$A$6:$AB$188,12,FALSE),IF($C$1='Adj-Mixed'!$A$19,VLOOKUP(A164,'800'!$A$6:$AB$188,21,FALSE)))))</f>
        <v>129.75474170650881</v>
      </c>
      <c r="C164" s="126">
        <f t="shared" si="24"/>
        <v>830.17158213539233</v>
      </c>
      <c r="D164" s="26">
        <f t="shared" si="25"/>
        <v>0.26063086786633899</v>
      </c>
      <c r="E164" s="26">
        <f>IF(A164&gt;200,"",IF($C$1='Adj-Mixed'!$A$21,VLOOKUP(A164,'800'!$A$7:$AB$188,9,FALSE),IF($C$1='Adj-Mixed'!$A$20,VLOOKUP(A164,'800'!$A$7:$AB$188,18,FALSE),IF($C$1='Adj-Mixed'!$A$19,VLOOKUP(A164,'800'!$A$7:$AB$188,27,FALSE)))))</f>
        <v>3.836844070644911</v>
      </c>
      <c r="F164" s="26">
        <f t="shared" si="20"/>
        <v>3.1852389125340848</v>
      </c>
      <c r="G164" s="27">
        <f t="shared" si="27"/>
        <v>314.39629274688048</v>
      </c>
      <c r="H164" s="1"/>
      <c r="I164" s="127">
        <f t="shared" si="26"/>
        <v>206.34699936544962</v>
      </c>
      <c r="J164" s="25">
        <f>IF(A164&gt;200,"",C164*'Adj-Gilts'!$C$6)</f>
        <v>1304.7685161249281</v>
      </c>
      <c r="K164" s="26">
        <f>IF(A164&gt;200,"",D164*'Adj-Gilts'!$C$7)</f>
        <v>0.163390039787015</v>
      </c>
      <c r="L164" s="1">
        <f t="shared" si="21"/>
        <v>6.1203241109650088</v>
      </c>
      <c r="M164" s="26">
        <f t="shared" si="22"/>
        <v>7.9856062084674342</v>
      </c>
      <c r="N164" s="30">
        <f t="shared" si="28"/>
        <v>788.21245634012291</v>
      </c>
    </row>
    <row r="165" spans="1:14" x14ac:dyDescent="0.25">
      <c r="A165" s="114">
        <f t="shared" si="23"/>
        <v>183</v>
      </c>
      <c r="B165" s="127">
        <f>IF(A165&gt;200,"",IF($C$1='Adj-Mixed'!$A$21,VLOOKUP(A165,'800'!$A$6:$AB$188,3,FALSE),IF($C$1='Adj-Mixed'!$A$20,VLOOKUP(A165,'800'!$A$6:$AB$188,12,FALSE),IF($C$1='Adj-Mixed'!$A$19,VLOOKUP(A165,'800'!$A$6:$AB$188,21,FALSE)))))</f>
        <v>130.58164695889499</v>
      </c>
      <c r="C165" s="126">
        <f t="shared" si="24"/>
        <v>826.90525238618307</v>
      </c>
      <c r="D165" s="26">
        <f t="shared" si="25"/>
        <v>0.25908999953021405</v>
      </c>
      <c r="E165" s="26">
        <f>IF(A165&gt;200,"",IF($C$1='Adj-Mixed'!$A$21,VLOOKUP(A165,'800'!$A$7:$AB$188,9,FALSE),IF($C$1='Adj-Mixed'!$A$20,VLOOKUP(A165,'800'!$A$7:$AB$188,18,FALSE),IF($C$1='Adj-Mixed'!$A$19,VLOOKUP(A165,'800'!$A$7:$AB$188,27,FALSE)))))</f>
        <v>3.8596626724814365</v>
      </c>
      <c r="F165" s="26">
        <f t="shared" si="20"/>
        <v>3.1915753363137918</v>
      </c>
      <c r="G165" s="27">
        <f t="shared" si="27"/>
        <v>317.58786808319428</v>
      </c>
      <c r="H165" s="1"/>
      <c r="I165" s="127">
        <f t="shared" si="26"/>
        <v>207.64663423894962</v>
      </c>
      <c r="J165" s="25">
        <f>IF(A165&gt;200,"",C165*'Adj-Gilts'!$C$6)</f>
        <v>1299.6348735000045</v>
      </c>
      <c r="K165" s="26">
        <f>IF(A165&gt;200,"",D165*'Adj-Gilts'!$C$7)</f>
        <v>0.16242406618301689</v>
      </c>
      <c r="L165" s="1">
        <f t="shared" si="21"/>
        <v>6.1567230983690298</v>
      </c>
      <c r="M165" s="26">
        <f t="shared" si="22"/>
        <v>8.0014920451233884</v>
      </c>
      <c r="N165" s="30">
        <f t="shared" si="28"/>
        <v>796.21394838524634</v>
      </c>
    </row>
    <row r="166" spans="1:14" x14ac:dyDescent="0.25">
      <c r="A166" s="114">
        <f t="shared" si="23"/>
        <v>184</v>
      </c>
      <c r="B166" s="127">
        <f>IF(A166&gt;200,"",IF($C$1='Adj-Mixed'!$A$21,VLOOKUP(A166,'800'!$A$6:$AB$188,3,FALSE),IF($C$1='Adj-Mixed'!$A$20,VLOOKUP(A166,'800'!$A$6:$AB$188,12,FALSE),IF($C$1='Adj-Mixed'!$A$19,VLOOKUP(A166,'800'!$A$6:$AB$188,21,FALSE)))))</f>
        <v>131.4052645582895</v>
      </c>
      <c r="C166" s="126">
        <f t="shared" si="24"/>
        <v>823.61759939450963</v>
      </c>
      <c r="D166" s="26">
        <f t="shared" si="25"/>
        <v>0.2575567859766818</v>
      </c>
      <c r="E166" s="26">
        <f>IF(A166&gt;200,"",IF($C$1='Adj-Mixed'!$A$21,VLOOKUP(A166,'800'!$A$7:$AB$188,9,FALSE),IF($C$1='Adj-Mixed'!$A$20,VLOOKUP(A166,'800'!$A$7:$AB$188,18,FALSE),IF($C$1='Adj-Mixed'!$A$19,VLOOKUP(A166,'800'!$A$7:$AB$188,27,FALSE)))))</f>
        <v>3.8826389147849363</v>
      </c>
      <c r="F166" s="26">
        <f t="shared" si="20"/>
        <v>3.1978097423108736</v>
      </c>
      <c r="G166" s="27">
        <f t="shared" si="27"/>
        <v>320.78567782550516</v>
      </c>
      <c r="H166" s="1"/>
      <c r="I166" s="127">
        <f t="shared" si="26"/>
        <v>208.94110195639684</v>
      </c>
      <c r="J166" s="25">
        <f>IF(A166&gt;200,"",C166*'Adj-Gilts'!$C$6)</f>
        <v>1294.4677174472215</v>
      </c>
      <c r="K166" s="26">
        <f>IF(A166&gt;200,"",D166*'Adj-Gilts'!$C$7)</f>
        <v>0.16146289137834219</v>
      </c>
      <c r="L166" s="1">
        <f t="shared" si="21"/>
        <v>6.1933735452363816</v>
      </c>
      <c r="M166" s="26">
        <f t="shared" si="22"/>
        <v>8.0171221164001452</v>
      </c>
      <c r="N166" s="30">
        <f t="shared" si="28"/>
        <v>804.23107050164651</v>
      </c>
    </row>
    <row r="167" spans="1:14" x14ac:dyDescent="0.25">
      <c r="A167" s="114">
        <f t="shared" si="23"/>
        <v>185</v>
      </c>
      <c r="B167" s="127">
        <f>IF(A167&gt;200,"",IF($C$1='Adj-Mixed'!$A$21,VLOOKUP(A167,'800'!$A$6:$AB$188,3,FALSE),IF($C$1='Adj-Mixed'!$A$20,VLOOKUP(A167,'800'!$A$6:$AB$188,12,FALSE),IF($C$1='Adj-Mixed'!$A$19,VLOOKUP(A167,'800'!$A$6:$AB$188,21,FALSE)))))</f>
        <v>132.22557411293414</v>
      </c>
      <c r="C167" s="126">
        <f t="shared" si="24"/>
        <v>820.30955464463773</v>
      </c>
      <c r="D167" s="26">
        <f t="shared" si="25"/>
        <v>0.25603118982519629</v>
      </c>
      <c r="E167" s="26">
        <f>IF(A167&gt;200,"",IF($C$1='Adj-Mixed'!$A$21,VLOOKUP(A167,'800'!$A$7:$AB$188,9,FALSE),IF($C$1='Adj-Mixed'!$A$20,VLOOKUP(A167,'800'!$A$7:$AB$188,18,FALSE),IF($C$1='Adj-Mixed'!$A$19,VLOOKUP(A167,'800'!$A$7:$AB$188,27,FALSE)))))</f>
        <v>3.905774139013078</v>
      </c>
      <c r="F167" s="26">
        <f t="shared" si="20"/>
        <v>3.2039438445163615</v>
      </c>
      <c r="G167" s="27">
        <f t="shared" si="27"/>
        <v>323.98962167002151</v>
      </c>
      <c r="H167" s="1"/>
      <c r="I167" s="127">
        <f t="shared" si="26"/>
        <v>210.23037046836359</v>
      </c>
      <c r="J167" s="25">
        <f>IF(A167&gt;200,"",C167*'Adj-Gilts'!$C$6)</f>
        <v>1289.2685119667558</v>
      </c>
      <c r="K167" s="26">
        <f>IF(A167&gt;200,"",D167*'Adj-Gilts'!$C$7)</f>
        <v>0.16050649193904798</v>
      </c>
      <c r="L167" s="1">
        <f t="shared" si="21"/>
        <v>6.23027759138707</v>
      </c>
      <c r="M167" s="26">
        <f t="shared" si="22"/>
        <v>8.0325007193874303</v>
      </c>
      <c r="N167" s="30">
        <f t="shared" si="28"/>
        <v>812.263571221034</v>
      </c>
    </row>
    <row r="168" spans="1:14" x14ac:dyDescent="0.25">
      <c r="A168" s="114">
        <f t="shared" si="23"/>
        <v>186</v>
      </c>
      <c r="B168" s="127">
        <f>IF(A168&gt;200,"",IF($C$1='Adj-Mixed'!$A$21,VLOOKUP(A168,'800'!$A$6:$AB$188,3,FALSE),IF($C$1='Adj-Mixed'!$A$20,VLOOKUP(A168,'800'!$A$6:$AB$188,12,FALSE),IF($C$1='Adj-Mixed'!$A$19,VLOOKUP(A168,'800'!$A$6:$AB$188,21,FALSE)))))</f>
        <v>133.04255614638888</v>
      </c>
      <c r="C168" s="126">
        <f t="shared" si="24"/>
        <v>816.9820334547353</v>
      </c>
      <c r="D168" s="26">
        <f t="shared" si="25"/>
        <v>0.25451317557354497</v>
      </c>
      <c r="E168" s="26">
        <f>IF(A168&gt;200,"",IF($C$1='Adj-Mixed'!$A$21,VLOOKUP(A168,'800'!$A$7:$AB$188,9,FALSE),IF($C$1='Adj-Mixed'!$A$20,VLOOKUP(A168,'800'!$A$7:$AB$188,18,FALSE),IF($C$1='Adj-Mixed'!$A$19,VLOOKUP(A168,'800'!$A$7:$AB$188,27,FALSE)))))</f>
        <v>3.9290696748665446</v>
      </c>
      <c r="F168" s="26">
        <f t="shared" si="20"/>
        <v>3.2099793325578054</v>
      </c>
      <c r="G168" s="27">
        <f t="shared" si="27"/>
        <v>327.1996010025793</v>
      </c>
      <c r="H168" s="1"/>
      <c r="I168" s="127">
        <f t="shared" si="26"/>
        <v>211.51440916401435</v>
      </c>
      <c r="J168" s="25">
        <f>IF(A168&gt;200,"",C168*'Adj-Gilts'!$C$6)</f>
        <v>1284.0386956507652</v>
      </c>
      <c r="K168" s="26">
        <f>IF(A168&gt;200,"",D168*'Adj-Gilts'!$C$7)</f>
        <v>0.15955484560872241</v>
      </c>
      <c r="L168" s="1">
        <f t="shared" si="21"/>
        <v>6.2674373578870037</v>
      </c>
      <c r="M168" s="26">
        <f t="shared" si="22"/>
        <v>8.0476320900941065</v>
      </c>
      <c r="N168" s="30">
        <f t="shared" si="28"/>
        <v>820.31120331112811</v>
      </c>
    </row>
    <row r="169" spans="1:14" x14ac:dyDescent="0.25">
      <c r="A169" s="114">
        <f t="shared" si="23"/>
        <v>187</v>
      </c>
      <c r="B169" s="127">
        <f>IF(A169&gt;200,"",IF($C$1='Adj-Mixed'!$A$21,VLOOKUP(A169,'800'!$A$6:$AB$188,3,FALSE),IF($C$1='Adj-Mixed'!$A$20,VLOOKUP(A169,'800'!$A$6:$AB$188,12,FALSE),IF($C$1='Adj-Mixed'!$A$19,VLOOKUP(A169,'800'!$A$6:$AB$188,21,FALSE)))))</f>
        <v>133.85619208144587</v>
      </c>
      <c r="C169" s="126">
        <f t="shared" si="24"/>
        <v>813.63593505699328</v>
      </c>
      <c r="D169" s="26">
        <f t="shared" si="25"/>
        <v>0.25300270949205916</v>
      </c>
      <c r="E169" s="26">
        <f>IF(A169&gt;200,"",IF($C$1='Adj-Mixed'!$A$21,VLOOKUP(A169,'800'!$A$7:$AB$188,9,FALSE),IF($C$1='Adj-Mixed'!$A$20,VLOOKUP(A169,'800'!$A$7:$AB$188,18,FALSE),IF($C$1='Adj-Mixed'!$A$19,VLOOKUP(A169,'800'!$A$7:$AB$188,27,FALSE)))))</f>
        <v>3.9525268405530118</v>
      </c>
      <c r="F169" s="26">
        <f t="shared" si="20"/>
        <v>3.2159178717512131</v>
      </c>
      <c r="G169" s="27">
        <f t="shared" si="27"/>
        <v>330.41551887433053</v>
      </c>
      <c r="H169" s="1"/>
      <c r="I169" s="127">
        <f t="shared" si="26"/>
        <v>212.79318884582366</v>
      </c>
      <c r="J169" s="25">
        <f>IF(A169&gt;200,"",C169*'Adj-Gilts'!$C$6)</f>
        <v>1278.7796818093136</v>
      </c>
      <c r="K169" s="26">
        <f>IF(A169&gt;200,"",D169*'Adj-Gilts'!$C$7)</f>
        <v>0.15860793124216524</v>
      </c>
      <c r="L169" s="1">
        <f t="shared" si="21"/>
        <v>6.3048549474690727</v>
      </c>
      <c r="M169" s="26">
        <f t="shared" si="22"/>
        <v>8.0625204035783771</v>
      </c>
      <c r="N169" s="30">
        <f t="shared" si="28"/>
        <v>828.37372371470644</v>
      </c>
    </row>
    <row r="170" spans="1:14" x14ac:dyDescent="0.25">
      <c r="A170" s="114">
        <f t="shared" si="23"/>
        <v>188</v>
      </c>
      <c r="B170" s="127">
        <f>IF(A170&gt;200,"",IF($C$1='Adj-Mixed'!$A$21,VLOOKUP(A170,'800'!$A$6:$AB$188,3,FALSE),IF($C$1='Adj-Mixed'!$A$20,VLOOKUP(A170,'800'!$A$6:$AB$188,12,FALSE),IF($C$1='Adj-Mixed'!$A$19,VLOOKUP(A170,'800'!$A$6:$AB$188,21,FALSE)))))</f>
        <v>134.66646422413012</v>
      </c>
      <c r="C170" s="126">
        <f t="shared" si="24"/>
        <v>810.27214268425496</v>
      </c>
      <c r="D170" s="26">
        <f t="shared" si="25"/>
        <v>0.25149975952184173</v>
      </c>
      <c r="E170" s="26">
        <f>IF(A170&gt;200,"",IF($C$1='Adj-Mixed'!$A$21,VLOOKUP(A170,'800'!$A$7:$AB$188,9,FALSE),IF($C$1='Adj-Mixed'!$A$20,VLOOKUP(A170,'800'!$A$7:$AB$188,18,FALSE),IF($C$1='Adj-Mixed'!$A$19,VLOOKUP(A170,'800'!$A$7:$AB$188,27,FALSE)))))</f>
        <v>3.9761469430476897</v>
      </c>
      <c r="F170" s="26">
        <f t="shared" si="20"/>
        <v>3.2217611031707021</v>
      </c>
      <c r="G170" s="27">
        <f t="shared" si="27"/>
        <v>333.63727997750124</v>
      </c>
      <c r="H170" s="1"/>
      <c r="I170" s="127">
        <f t="shared" si="26"/>
        <v>214.06668170443018</v>
      </c>
      <c r="J170" s="25">
        <f>IF(A170&gt;200,"",C170*'Adj-Gilts'!$C$6)</f>
        <v>1273.4928586065239</v>
      </c>
      <c r="K170" s="26">
        <f>IF(A170&gt;200,"",D170*'Adj-Gilts'!$C$7)</f>
        <v>0.1576657287415863</v>
      </c>
      <c r="L170" s="1">
        <f t="shared" si="21"/>
        <v>6.3425324449487519</v>
      </c>
      <c r="M170" s="26">
        <f t="shared" si="22"/>
        <v>8.077169774122412</v>
      </c>
      <c r="N170" s="30">
        <f t="shared" si="28"/>
        <v>836.45089348882891</v>
      </c>
    </row>
    <row r="171" spans="1:14" x14ac:dyDescent="0.25">
      <c r="A171" s="114">
        <f t="shared" si="23"/>
        <v>189</v>
      </c>
      <c r="B171" s="127">
        <f>IF(A171&gt;200,"",IF($C$1='Adj-Mixed'!$A$21,VLOOKUP(A171,'800'!$A$6:$AB$188,3,FALSE),IF($C$1='Adj-Mixed'!$A$20,VLOOKUP(A171,'800'!$A$6:$AB$188,12,FALSE),IF($C$1='Adj-Mixed'!$A$19,VLOOKUP(A171,'800'!$A$6:$AB$188,21,FALSE)))))</f>
        <v>135.47335574779348</v>
      </c>
      <c r="C171" s="126">
        <f t="shared" si="24"/>
        <v>806.89152366335293</v>
      </c>
      <c r="D171" s="26">
        <f t="shared" si="25"/>
        <v>0.25000429517705264</v>
      </c>
      <c r="E171" s="26">
        <f>IF(A171&gt;200,"",IF($C$1='Adj-Mixed'!$A$21,VLOOKUP(A171,'800'!$A$7:$AB$188,9,FALSE),IF($C$1='Adj-Mixed'!$A$20,VLOOKUP(A171,'800'!$A$7:$AB$188,18,FALSE),IF($C$1='Adj-Mixed'!$A$19,VLOOKUP(A171,'800'!$A$7:$AB$188,27,FALSE)))))</f>
        <v>3.999931278347844</v>
      </c>
      <c r="F171" s="26">
        <f t="shared" si="20"/>
        <v>3.2275106437347949</v>
      </c>
      <c r="G171" s="27">
        <f t="shared" si="27"/>
        <v>336.86479062123601</v>
      </c>
      <c r="H171" s="1"/>
      <c r="I171" s="127">
        <f t="shared" si="26"/>
        <v>215.33486129363746</v>
      </c>
      <c r="J171" s="25">
        <f>IF(A171&gt;200,"",C171*'Adj-Gilts'!$C$6)</f>
        <v>1268.1795892072748</v>
      </c>
      <c r="K171" s="26">
        <f>IF(A171&gt;200,"",D171*'Adj-Gilts'!$C$7)</f>
        <v>0.15672821899534833</v>
      </c>
      <c r="L171" s="1">
        <f t="shared" si="21"/>
        <v>6.3804719176300972</v>
      </c>
      <c r="M171" s="26">
        <f t="shared" si="22"/>
        <v>8.0915842554486908</v>
      </c>
      <c r="N171" s="30">
        <f t="shared" si="28"/>
        <v>844.54247774427756</v>
      </c>
    </row>
    <row r="172" spans="1:14" x14ac:dyDescent="0.25">
      <c r="A172" s="114">
        <f t="shared" si="23"/>
        <v>190</v>
      </c>
      <c r="B172" s="127">
        <f>IF(A172&gt;200,"",IF($C$1='Adj-Mixed'!$A$21,VLOOKUP(A172,'800'!$A$6:$AB$188,3,FALSE),IF($C$1='Adj-Mixed'!$A$20,VLOOKUP(A172,'800'!$A$6:$AB$188,12,FALSE),IF($C$1='Adj-Mixed'!$A$19,VLOOKUP(A172,'800'!$A$6:$AB$188,21,FALSE)))))</f>
        <v>136.27685067730704</v>
      </c>
      <c r="C172" s="126">
        <f t="shared" si="24"/>
        <v>803.49492951356183</v>
      </c>
      <c r="D172" s="26">
        <f t="shared" si="25"/>
        <v>0.24851628745073923</v>
      </c>
      <c r="E172" s="26">
        <f>IF(A172&gt;200,"",IF($C$1='Adj-Mixed'!$A$21,VLOOKUP(A172,'800'!$A$7:$AB$188,9,FALSE),IF($C$1='Adj-Mixed'!$A$20,VLOOKUP(A172,'800'!$A$7:$AB$188,18,FALSE),IF($C$1='Adj-Mixed'!$A$19,VLOOKUP(A172,'800'!$A$7:$AB$188,27,FALSE)))))</f>
        <v>4.0238811317275109</v>
      </c>
      <c r="F172" s="26">
        <f t="shared" si="20"/>
        <v>3.2331680863083481</v>
      </c>
      <c r="G172" s="27">
        <f t="shared" si="27"/>
        <v>340.09795870754436</v>
      </c>
      <c r="H172" s="1"/>
      <c r="I172" s="127">
        <f t="shared" si="26"/>
        <v>216.5977025055694</v>
      </c>
      <c r="J172" s="25">
        <f>IF(A172&gt;200,"",C172*'Adj-Gilts'!$C$6)</f>
        <v>1262.8412119319387</v>
      </c>
      <c r="K172" s="26">
        <f>IF(A172&gt;200,"",D172*'Adj-Gilts'!$C$7)</f>
        <v>0.15579538381893165</v>
      </c>
      <c r="L172" s="1">
        <f t="shared" si="21"/>
        <v>6.4186754157120527</v>
      </c>
      <c r="M172" s="26">
        <f t="shared" si="22"/>
        <v>8.1057678409755507</v>
      </c>
      <c r="N172" s="30">
        <f t="shared" si="28"/>
        <v>852.64824558525311</v>
      </c>
    </row>
    <row r="173" spans="1:14" x14ac:dyDescent="0.25">
      <c r="A173" s="114">
        <f t="shared" si="23"/>
        <v>191</v>
      </c>
      <c r="B173" s="127">
        <f>IF(A173&gt;200,"",IF($C$1='Adj-Mixed'!$A$21,VLOOKUP(A173,'800'!$A$6:$AB$188,3,FALSE),IF($C$1='Adj-Mixed'!$A$20,VLOOKUP(A173,'800'!$A$6:$AB$188,12,FALSE),IF($C$1='Adj-Mixed'!$A$19,VLOOKUP(A173,'800'!$A$6:$AB$188,21,FALSE)))))</f>
        <v>137.07693387335848</v>
      </c>
      <c r="C173" s="126">
        <f t="shared" si="24"/>
        <v>800.08319605144607</v>
      </c>
      <c r="D173" s="26">
        <f t="shared" si="25"/>
        <v>0.24703570872458849</v>
      </c>
      <c r="E173" s="26">
        <f>IF(A173&gt;200,"",IF($C$1='Adj-Mixed'!$A$21,VLOOKUP(A173,'800'!$A$7:$AB$188,9,FALSE),IF($C$1='Adj-Mixed'!$A$20,VLOOKUP(A173,'800'!$A$7:$AB$188,18,FALSE),IF($C$1='Adj-Mixed'!$A$19,VLOOKUP(A173,'800'!$A$7:$AB$188,27,FALSE)))))</f>
        <v>4.0479977779846603</v>
      </c>
      <c r="F173" s="26">
        <f t="shared" si="20"/>
        <v>3.2387349998191191</v>
      </c>
      <c r="G173" s="27">
        <f t="shared" si="27"/>
        <v>343.33669370736351</v>
      </c>
      <c r="H173" s="1"/>
      <c r="I173" s="127">
        <f t="shared" si="26"/>
        <v>217.85518154599058</v>
      </c>
      <c r="J173" s="25">
        <f>IF(A173&gt;200,"",C173*'Adj-Gilts'!$C$6)</f>
        <v>1257.4790404211672</v>
      </c>
      <c r="K173" s="26">
        <f>IF(A173&gt;200,"",D173*'Adj-Gilts'!$C$7)</f>
        <v>0.15486720589835765</v>
      </c>
      <c r="L173" s="1">
        <f t="shared" si="21"/>
        <v>6.4571449726827215</v>
      </c>
      <c r="M173" s="26">
        <f t="shared" si="22"/>
        <v>8.1197244641094315</v>
      </c>
      <c r="N173" s="30">
        <f t="shared" si="28"/>
        <v>860.76797004936259</v>
      </c>
    </row>
    <row r="174" spans="1:14" x14ac:dyDescent="0.25">
      <c r="A174" s="114">
        <f t="shared" si="23"/>
        <v>192</v>
      </c>
      <c r="B174" s="127">
        <f>IF(A174&gt;200,"",IF($C$1='Adj-Mixed'!$A$21,VLOOKUP(A174,'800'!$A$6:$AB$188,3,FALSE),IF($C$1='Adj-Mixed'!$A$20,VLOOKUP(A174,'800'!$A$6:$AB$188,12,FALSE),IF($C$1='Adj-Mixed'!$A$19,VLOOKUP(A174,'800'!$A$6:$AB$188,21,FALSE)))))</f>
        <v>137.87359101685888</v>
      </c>
      <c r="C174" s="126">
        <f t="shared" si="24"/>
        <v>796.65714350039707</v>
      </c>
      <c r="D174" s="26">
        <f t="shared" si="25"/>
        <v>0.24556253268205319</v>
      </c>
      <c r="E174" s="26">
        <f>IF(A174&gt;200,"",IF($C$1='Adj-Mixed'!$A$21,VLOOKUP(A174,'800'!$A$7:$AB$188,9,FALSE),IF($C$1='Adj-Mixed'!$A$20,VLOOKUP(A174,'800'!$A$7:$AB$188,18,FALSE),IF($C$1='Adj-Mixed'!$A$19,VLOOKUP(A174,'800'!$A$7:$AB$188,27,FALSE)))))</f>
        <v>4.072282481687747</v>
      </c>
      <c r="F174" s="26">
        <f t="shared" si="20"/>
        <v>3.2442129293880684</v>
      </c>
      <c r="G174" s="27">
        <f t="shared" si="27"/>
        <v>346.58090663675159</v>
      </c>
      <c r="H174" s="1"/>
      <c r="I174" s="127">
        <f t="shared" si="26"/>
        <v>219.10727590979863</v>
      </c>
      <c r="J174" s="25">
        <f>IF(A174&gt;200,"",C174*'Adj-Gilts'!$C$6)</f>
        <v>1252.0943638080507</v>
      </c>
      <c r="K174" s="26">
        <f>IF(A174&gt;200,"",D174*'Adj-Gilts'!$C$7)</f>
        <v>0.15394366873572746</v>
      </c>
      <c r="L174" s="1">
        <f t="shared" si="21"/>
        <v>6.4958826057126355</v>
      </c>
      <c r="M174" s="26">
        <f t="shared" si="22"/>
        <v>8.1334579985715454</v>
      </c>
      <c r="N174" s="30">
        <f t="shared" si="28"/>
        <v>868.90142804793413</v>
      </c>
    </row>
    <row r="175" spans="1:14" x14ac:dyDescent="0.25">
      <c r="A175" s="114">
        <f t="shared" si="23"/>
        <v>193</v>
      </c>
      <c r="B175" s="127">
        <f>IF(A175&gt;200,"",IF($C$1='Adj-Mixed'!$A$21,VLOOKUP(A175,'800'!$A$6:$AB$188,3,FALSE),IF($C$1='Adj-Mixed'!$A$20,VLOOKUP(A175,'800'!$A$6:$AB$188,12,FALSE),IF($C$1='Adj-Mixed'!$A$19,VLOOKUP(A175,'800'!$A$6:$AB$188,21,FALSE)))))</f>
        <v>138.66680859346462</v>
      </c>
      <c r="C175" s="126">
        <f t="shared" si="24"/>
        <v>793.21757660574121</v>
      </c>
      <c r="D175" s="26">
        <f t="shared" si="25"/>
        <v>0.24409673422510586</v>
      </c>
      <c r="E175" s="26">
        <f>IF(A175&gt;200,"",IF($C$1='Adj-Mixed'!$A$21,VLOOKUP(A175,'800'!$A$7:$AB$188,9,FALSE),IF($C$1='Adj-Mixed'!$A$20,VLOOKUP(A175,'800'!$A$7:$AB$188,18,FALSE),IF($C$1='Adj-Mixed'!$A$19,VLOOKUP(A175,'800'!$A$7:$AB$188,27,FALSE)))))</f>
        <v>4.0967364974158178</v>
      </c>
      <c r="F175" s="26">
        <f t="shared" si="20"/>
        <v>3.2496033964724673</v>
      </c>
      <c r="G175" s="27">
        <f t="shared" si="27"/>
        <v>349.83051003322407</v>
      </c>
      <c r="H175" s="1"/>
      <c r="I175" s="127">
        <f t="shared" si="26"/>
        <v>220.35396435669767</v>
      </c>
      <c r="J175" s="25">
        <f>IF(A175&gt;200,"",C175*'Adj-Gilts'!$C$6)</f>
        <v>1246.688446899032</v>
      </c>
      <c r="K175" s="26">
        <f>IF(A175&gt;200,"",D175*'Adj-Gilts'!$C$7)</f>
        <v>0.15302475659703485</v>
      </c>
      <c r="L175" s="1">
        <f t="shared" si="21"/>
        <v>6.5348903160377709</v>
      </c>
      <c r="M175" s="26">
        <f t="shared" si="22"/>
        <v>8.1469722587566533</v>
      </c>
      <c r="N175" s="30">
        <f t="shared" si="28"/>
        <v>877.04840030669084</v>
      </c>
    </row>
    <row r="176" spans="1:14" x14ac:dyDescent="0.25">
      <c r="A176" s="114">
        <f t="shared" si="23"/>
        <v>194</v>
      </c>
      <c r="B176" s="127">
        <f>IF(A176&gt;200,"",IF($C$1='Adj-Mixed'!$A$21,VLOOKUP(A176,'800'!$A$6:$AB$188,3,FALSE),IF($C$1='Adj-Mixed'!$A$20,VLOOKUP(A176,'800'!$A$6:$AB$188,12,FALSE),IF($C$1='Adj-Mixed'!$A$19,VLOOKUP(A176,'800'!$A$6:$AB$188,21,FALSE)))))</f>
        <v>139.45657387821862</v>
      </c>
      <c r="C176" s="126">
        <f t="shared" si="24"/>
        <v>789.76528475399732</v>
      </c>
      <c r="D176" s="26">
        <f t="shared" si="25"/>
        <v>0.24263828939416407</v>
      </c>
      <c r="E176" s="26">
        <f>IF(A176&gt;200,"",IF($C$1='Adj-Mixed'!$A$21,VLOOKUP(A176,'800'!$A$7:$AB$188,9,FALSE),IF($C$1='Adj-Mixed'!$A$20,VLOOKUP(A176,'800'!$A$7:$AB$188,18,FALSE),IF($C$1='Adj-Mixed'!$A$19,VLOOKUP(A176,'800'!$A$7:$AB$188,27,FALSE)))))</f>
        <v>4.1213610699979322</v>
      </c>
      <c r="F176" s="26">
        <f t="shared" si="20"/>
        <v>3.2549078990209561</v>
      </c>
      <c r="G176" s="27">
        <f t="shared" si="27"/>
        <v>353.08541793224504</v>
      </c>
      <c r="H176" s="1"/>
      <c r="I176" s="127">
        <f t="shared" si="26"/>
        <v>221.59522688705903</v>
      </c>
      <c r="J176" s="25">
        <f>IF(A176&gt;200,"",C176*'Adj-Gilts'!$C$6)</f>
        <v>1241.2625303613404</v>
      </c>
      <c r="K176" s="26">
        <f>IF(A176&gt;200,"",D176*'Adj-Gilts'!$C$7)</f>
        <v>0.15211045446196714</v>
      </c>
      <c r="L176" s="1">
        <f t="shared" si="21"/>
        <v>6.5741700893414565</v>
      </c>
      <c r="M176" s="26">
        <f t="shared" si="22"/>
        <v>8.1602710001218153</v>
      </c>
      <c r="N176" s="30">
        <f t="shared" si="28"/>
        <v>885.20867130681268</v>
      </c>
    </row>
    <row r="177" spans="1:14" x14ac:dyDescent="0.25">
      <c r="A177" s="114">
        <f t="shared" si="23"/>
        <v>195</v>
      </c>
      <c r="B177" s="127">
        <f>IF(A177&gt;200,"",IF($C$1='Adj-Mixed'!$A$21,VLOOKUP(A177,'800'!$A$6:$AB$188,3,FALSE),IF($C$1='Adj-Mixed'!$A$20,VLOOKUP(A177,'800'!$A$6:$AB$188,12,FALSE),IF($C$1='Adj-Mixed'!$A$19,VLOOKUP(A177,'800'!$A$6:$AB$188,21,FALSE)))))</f>
        <v>140.2428749203159</v>
      </c>
      <c r="C177" s="126">
        <f t="shared" si="24"/>
        <v>786.30104209727847</v>
      </c>
      <c r="D177" s="26">
        <f t="shared" si="25"/>
        <v>0.24118717529147238</v>
      </c>
      <c r="E177" s="26">
        <f>IF(A177&gt;200,"",IF($C$1='Adj-Mixed'!$A$21,VLOOKUP(A177,'800'!$A$7:$AB$188,9,FALSE),IF($C$1='Adj-Mixed'!$A$20,VLOOKUP(A177,'800'!$A$7:$AB$188,18,FALSE),IF($C$1='Adj-Mixed'!$A$19,VLOOKUP(A177,'800'!$A$7:$AB$188,27,FALSE)))))</f>
        <v>4.1461574347454819</v>
      </c>
      <c r="F177" s="26">
        <f t="shared" si="20"/>
        <v>3.2601279116397515</v>
      </c>
      <c r="G177" s="27">
        <f t="shared" si="27"/>
        <v>356.34554584388479</v>
      </c>
      <c r="H177" s="1"/>
      <c r="I177" s="127">
        <f t="shared" si="26"/>
        <v>222.83104471797753</v>
      </c>
      <c r="J177" s="25">
        <f>IF(A177&gt;200,"",C177*'Adj-Gilts'!$C$6)</f>
        <v>1235.817830918513</v>
      </c>
      <c r="K177" s="26">
        <f>IF(A177&gt;200,"",D177*'Adj-Gilts'!$C$7)</f>
        <v>0.15120074797587321</v>
      </c>
      <c r="L177" s="1">
        <f t="shared" si="21"/>
        <v>6.6137238961249576</v>
      </c>
      <c r="M177" s="26">
        <f t="shared" si="22"/>
        <v>8.1733579196030828</v>
      </c>
      <c r="N177" s="30">
        <f t="shared" si="28"/>
        <v>893.38202922641574</v>
      </c>
    </row>
    <row r="178" spans="1:14" x14ac:dyDescent="0.25">
      <c r="A178" s="114">
        <f t="shared" si="23"/>
        <v>196</v>
      </c>
      <c r="B178" s="127">
        <f>IF(A178&gt;200,"",IF($C$1='Adj-Mixed'!$A$21,VLOOKUP(A178,'800'!$A$6:$AB$188,3,FALSE),IF($C$1='Adj-Mixed'!$A$20,VLOOKUP(A178,'800'!$A$6:$AB$188,12,FALSE),IF($C$1='Adj-Mixed'!$A$19,VLOOKUP(A178,'800'!$A$6:$AB$188,21,FALSE)))))</f>
        <v>141.0257005279974</v>
      </c>
      <c r="C178" s="126">
        <f t="shared" si="24"/>
        <v>782.82560768150233</v>
      </c>
      <c r="D178" s="26">
        <f t="shared" si="25"/>
        <v>0.23974337000751411</v>
      </c>
      <c r="E178" s="26">
        <f>IF(A178&gt;200,"",IF($C$1='Adj-Mixed'!$A$21,VLOOKUP(A178,'800'!$A$7:$AB$188,9,FALSE),IF($C$1='Adj-Mixed'!$A$20,VLOOKUP(A178,'800'!$A$7:$AB$188,18,FALSE),IF($C$1='Adj-Mixed'!$A$19,VLOOKUP(A178,'800'!$A$7:$AB$188,27,FALSE)))))</f>
        <v>4.1711268176828318</v>
      </c>
      <c r="F178" s="26">
        <f t="shared" si="20"/>
        <v>3.2652648857691737</v>
      </c>
      <c r="G178" s="27">
        <f t="shared" si="27"/>
        <v>359.61081072965396</v>
      </c>
      <c r="H178" s="1"/>
      <c r="I178" s="127">
        <f t="shared" si="26"/>
        <v>224.06140025952942</v>
      </c>
      <c r="J178" s="25">
        <f>IF(A178&gt;200,"",C178*'Adj-Gilts'!$C$6)</f>
        <v>1230.3555415519008</v>
      </c>
      <c r="K178" s="26">
        <f>IF(A178&gt;200,"",D178*'Adj-Gilts'!$C$7)</f>
        <v>0.15029562340363098</v>
      </c>
      <c r="L178" s="1">
        <f t="shared" si="21"/>
        <v>6.6535536920753815</v>
      </c>
      <c r="M178" s="26">
        <f t="shared" si="22"/>
        <v>8.1862366560580551</v>
      </c>
      <c r="N178" s="30">
        <f t="shared" si="28"/>
        <v>901.56826588247384</v>
      </c>
    </row>
    <row r="179" spans="1:14" x14ac:dyDescent="0.25">
      <c r="A179" s="114">
        <f t="shared" si="23"/>
        <v>197</v>
      </c>
      <c r="B179" s="127">
        <f>IF(A179&gt;200,"",IF($C$1='Adj-Mixed'!$A$21,VLOOKUP(A179,'800'!$A$6:$AB$188,3,FALSE),IF($C$1='Adj-Mixed'!$A$20,VLOOKUP(A179,'800'!$A$6:$AB$188,12,FALSE),IF($C$1='Adj-Mixed'!$A$19,VLOOKUP(A179,'800'!$A$6:$AB$188,21,FALSE)))))</f>
        <v>141.8050402535761</v>
      </c>
      <c r="C179" s="126">
        <f t="shared" si="24"/>
        <v>779.33972557869424</v>
      </c>
      <c r="D179" s="26">
        <f t="shared" si="25"/>
        <v>0.23830685255051939</v>
      </c>
      <c r="E179" s="26">
        <f>IF(A179&gt;200,"",IF($C$1='Adj-Mixed'!$A$21,VLOOKUP(A179,'800'!$A$7:$AB$188,9,FALSE),IF($C$1='Adj-Mixed'!$A$20,VLOOKUP(A179,'800'!$A$7:$AB$188,18,FALSE),IF($C$1='Adj-Mixed'!$A$19,VLOOKUP(A179,'800'!$A$7:$AB$188,27,FALSE)))))</f>
        <v>4.1962704357735872</v>
      </c>
      <c r="F179" s="26">
        <f t="shared" si="20"/>
        <v>3.270320249869775</v>
      </c>
      <c r="G179" s="27">
        <f t="shared" si="27"/>
        <v>362.88113097952373</v>
      </c>
      <c r="H179" s="1"/>
      <c r="I179" s="127">
        <f t="shared" si="26"/>
        <v>225.28627709123802</v>
      </c>
      <c r="J179" s="25">
        <f>IF(A179&gt;200,"",C179*'Adj-Gilts'!$C$6)</f>
        <v>1224.8768317086076</v>
      </c>
      <c r="K179" s="26">
        <f>IF(A179&gt;200,"",D179*'Adj-Gilts'!$C$7)</f>
        <v>0.14939506758545568</v>
      </c>
      <c r="L179" s="1">
        <f t="shared" si="21"/>
        <v>6.6936614184266068</v>
      </c>
      <c r="M179" s="26">
        <f t="shared" si="22"/>
        <v>8.1989107907325263</v>
      </c>
      <c r="N179" s="30">
        <f t="shared" si="28"/>
        <v>909.76717667320634</v>
      </c>
    </row>
    <row r="180" spans="1:14" x14ac:dyDescent="0.25">
      <c r="A180" s="114">
        <f t="shared" si="23"/>
        <v>198</v>
      </c>
      <c r="B180" s="127">
        <f>IF(A180&gt;200,"",IF($C$1='Adj-Mixed'!$A$21,VLOOKUP(A180,'800'!$A$6:$AB$188,3,FALSE),IF($C$1='Adj-Mixed'!$A$20,VLOOKUP(A180,'800'!$A$6:$AB$188,12,FALSE),IF($C$1='Adj-Mixed'!$A$19,VLOOKUP(A180,'800'!$A$6:$AB$188,21,FALSE)))))</f>
        <v>142.58088437859928</v>
      </c>
      <c r="C180" s="126">
        <f t="shared" si="24"/>
        <v>775.84412502318401</v>
      </c>
      <c r="D180" s="26">
        <f t="shared" si="25"/>
        <v>0.23687760277899073</v>
      </c>
      <c r="E180" s="26">
        <f>IF(A180&gt;200,"",IF($C$1='Adj-Mixed'!$A$21,VLOOKUP(A180,'800'!$A$7:$AB$188,9,FALSE),IF($C$1='Adj-Mixed'!$A$20,VLOOKUP(A180,'800'!$A$7:$AB$188,18,FALSE),IF($C$1='Adj-Mixed'!$A$19,VLOOKUP(A180,'800'!$A$7:$AB$188,27,FALSE)))))</f>
        <v>4.221589497142161</v>
      </c>
      <c r="F180" s="26">
        <f t="shared" si="20"/>
        <v>3.2752954096173235</v>
      </c>
      <c r="G180" s="27">
        <f t="shared" si="27"/>
        <v>366.15642638914107</v>
      </c>
      <c r="H180" s="1"/>
      <c r="I180" s="127">
        <f t="shared" si="26"/>
        <v>226.50565993875358</v>
      </c>
      <c r="J180" s="25">
        <f>IF(A180&gt;200,"",C180*'Adj-Gilts'!$C$6)</f>
        <v>1219.3828475155487</v>
      </c>
      <c r="K180" s="26">
        <f>IF(A180&gt;200,"",D180*'Adj-Gilts'!$C$7)</f>
        <v>0.14849906789460013</v>
      </c>
      <c r="L180" s="1">
        <f t="shared" si="21"/>
        <v>6.7340490023127142</v>
      </c>
      <c r="M180" s="26">
        <f t="shared" si="22"/>
        <v>8.2113838477493175</v>
      </c>
      <c r="N180" s="30">
        <f t="shared" si="28"/>
        <v>917.97856052095563</v>
      </c>
    </row>
    <row r="181" spans="1:14" x14ac:dyDescent="0.25">
      <c r="A181" s="114">
        <f t="shared" si="23"/>
        <v>199</v>
      </c>
      <c r="B181" s="127">
        <f>IF(A181&gt;200,"",IF($C$1='Adj-Mixed'!$A$21,VLOOKUP(A181,'800'!$A$6:$AB$188,3,FALSE),IF($C$1='Adj-Mixed'!$A$20,VLOOKUP(A181,'800'!$A$6:$AB$188,12,FALSE),IF($C$1='Adj-Mixed'!$A$19,VLOOKUP(A181,'800'!$A$6:$AB$188,21,FALSE)))))</f>
        <v>143.35322389915027</v>
      </c>
      <c r="C181" s="126">
        <f t="shared" si="24"/>
        <v>772.33952055098598</v>
      </c>
      <c r="D181" s="26">
        <f t="shared" si="25"/>
        <v>0.23545560133701057</v>
      </c>
      <c r="E181" s="26">
        <f>IF(A181&gt;200,"",IF($C$1='Adj-Mixed'!$A$21,VLOOKUP(A181,'800'!$A$7:$AB$188,9,FALSE),IF($C$1='Adj-Mixed'!$A$20,VLOOKUP(A181,'800'!$A$7:$AB$188,18,FALSE),IF($C$1='Adj-Mixed'!$A$19,VLOOKUP(A181,'800'!$A$7:$AB$188,27,FALSE)))))</f>
        <v>4.2470852012931619</v>
      </c>
      <c r="F181" s="26">
        <f t="shared" si="20"/>
        <v>3.2801917481059486</v>
      </c>
      <c r="G181" s="27">
        <f t="shared" si="27"/>
        <v>369.43661813724702</v>
      </c>
      <c r="I181" s="127">
        <f t="shared" si="26"/>
        <v>227.71953465075208</v>
      </c>
      <c r="J181" s="25">
        <f>IF(A181&gt;200,"",C181*'Adj-Gilts'!$C$6)</f>
        <v>1213.8747119985119</v>
      </c>
      <c r="K181" s="26">
        <f>IF(A181&gt;200,"",D181*'Adj-Gilts'!$C$7)</f>
        <v>0.14760761219679891</v>
      </c>
      <c r="L181" s="1">
        <f t="shared" si="21"/>
        <v>6.7747183571179432</v>
      </c>
      <c r="M181" s="26">
        <f t="shared" si="22"/>
        <v>8.2236592946175744</v>
      </c>
      <c r="N181" s="30">
        <f t="shared" si="28"/>
        <v>926.20221981557324</v>
      </c>
    </row>
    <row r="182" spans="1:14" x14ac:dyDescent="0.25">
      <c r="A182" s="114">
        <f t="shared" si="23"/>
        <v>200</v>
      </c>
      <c r="B182" s="127">
        <f>IF(A182&gt;200,"",IF($C$1='Adj-Mixed'!$A$21,VLOOKUP(A182,'800'!$A$6:$AB$188,3,FALSE),IF($C$1='Adj-Mixed'!$A$20,VLOOKUP(A182,'800'!$A$6:$AB$188,12,FALSE),IF($C$1='Adj-Mixed'!$A$19,VLOOKUP(A182,'800'!$A$6:$AB$188,21,FALSE)))))</f>
        <v>144.12205051129303</v>
      </c>
      <c r="C182" s="126">
        <f t="shared" si="24"/>
        <v>768.82661214276027</v>
      </c>
      <c r="D182" s="26">
        <f t="shared" si="25"/>
        <v>0.23404082959243194</v>
      </c>
      <c r="E182" s="26">
        <f>IF(A182&gt;200,"",IF($C$1='Adj-Mixed'!$A$21,VLOOKUP(A182,'800'!$A$7:$AB$188,9,FALSE),IF($C$1='Adj-Mixed'!$A$20,VLOOKUP(A182,'800'!$A$7:$AB$188,18,FALSE),IF($C$1='Adj-Mixed'!$A$19,VLOOKUP(A182,'800'!$A$7:$AB$188,27,FALSE)))))</f>
        <v>4.2727587393252708</v>
      </c>
      <c r="F182" s="26">
        <f t="shared" si="20"/>
        <v>3.2850106260588197</v>
      </c>
      <c r="G182" s="27">
        <f t="shared" si="27"/>
        <v>372.72162876330583</v>
      </c>
      <c r="I182" s="127">
        <f t="shared" si="26"/>
        <v>228.92788817605893</v>
      </c>
      <c r="J182" s="25">
        <f>IF(A182&gt;200,"",C182*'Adj-Gilts'!$C$6)</f>
        <v>1208.353525306848</v>
      </c>
      <c r="K182" s="26">
        <f>IF(A182&gt;200,"",D182*'Adj-Gilts'!$C$7)</f>
        <v>0.14672068881151978</v>
      </c>
      <c r="L182" s="1">
        <f t="shared" si="21"/>
        <v>6.8156713828178601</v>
      </c>
      <c r="M182" s="26">
        <f t="shared" si="22"/>
        <v>8.2357405427609613</v>
      </c>
      <c r="N182" s="30">
        <f t="shared" si="28"/>
        <v>934.43796035833418</v>
      </c>
    </row>
    <row r="183" spans="1:14" x14ac:dyDescent="0.25">
      <c r="A183" s="114">
        <f t="shared" si="23"/>
        <v>201</v>
      </c>
      <c r="B183" s="127" t="str">
        <f>IF(A183&gt;200,"",IF($C$1='Adj-Mixed'!$A$21,VLOOKUP(A183,'800'!$A$6:$AB$188,3,FALSE),IF($C$1='Adj-Mixed'!$A$20,VLOOKUP(A183,'800'!$A$6:$AB$188,12,FALSE),IF($C$1='Adj-Mixed'!$A$19,VLOOKUP(A183,'800'!$A$6:$AB$188,21,FALSE)))))</f>
        <v/>
      </c>
      <c r="C183" s="126" t="str">
        <f t="shared" si="24"/>
        <v/>
      </c>
      <c r="D183" s="26" t="str">
        <f t="shared" si="25"/>
        <v/>
      </c>
      <c r="E183" s="26" t="str">
        <f>IF(A183&gt;200,"",IF($C$1='Adj-Mixed'!$A$21,VLOOKUP(A183,'800'!$A$7:$AB$188,9,FALSE),IF($C$1='Adj-Mixed'!$A$20,VLOOKUP(A183,'800'!$A$7:$AB$188,18,FALSE),IF($C$1='Adj-Mixed'!$A$19,VLOOKUP(A183,'800'!$A$7:$AB$188,27,FALSE)))))</f>
        <v/>
      </c>
      <c r="F183" s="26" t="str">
        <f t="shared" si="20"/>
        <v/>
      </c>
      <c r="G183" s="27" t="str">
        <f t="shared" si="27"/>
        <v/>
      </c>
      <c r="I183" s="127" t="str">
        <f t="shared" si="26"/>
        <v/>
      </c>
      <c r="J183" s="25" t="str">
        <f>IF(A183&gt;200,"",C183*'Adj-Gilts'!$C$6)</f>
        <v/>
      </c>
      <c r="K183" s="26" t="str">
        <f>IF(A183&gt;200,"",D183*'Adj-Gilts'!$C$7)</f>
        <v/>
      </c>
      <c r="L183" s="1" t="str">
        <f t="shared" si="21"/>
        <v/>
      </c>
      <c r="M183" s="26" t="str">
        <f t="shared" si="22"/>
        <v/>
      </c>
      <c r="N183" s="30" t="str">
        <f t="shared" si="28"/>
        <v/>
      </c>
    </row>
    <row r="184" spans="1:14" x14ac:dyDescent="0.25">
      <c r="A184" s="114">
        <f t="shared" si="23"/>
        <v>202</v>
      </c>
      <c r="B184" s="127" t="str">
        <f>IF(A184&gt;200,"",IF($C$1='Adj-Mixed'!$A$21,VLOOKUP(A184,'800'!$A$6:$AB$188,3,FALSE),IF($C$1='Adj-Mixed'!$A$20,VLOOKUP(A184,'800'!$A$6:$AB$188,12,FALSE),IF($C$1='Adj-Mixed'!$A$19,VLOOKUP(A184,'800'!$A$6:$AB$188,21,FALSE)))))</f>
        <v/>
      </c>
      <c r="C184" s="126" t="str">
        <f t="shared" si="24"/>
        <v/>
      </c>
      <c r="D184" s="26" t="str">
        <f t="shared" si="25"/>
        <v/>
      </c>
      <c r="E184" s="26" t="str">
        <f>IF(A184&gt;200,"",IF($C$1='Adj-Mixed'!$A$21,VLOOKUP(A184,'800'!$A$7:$AB$188,9,FALSE),IF($C$1='Adj-Mixed'!$A$20,VLOOKUP(A184,'800'!$A$7:$AB$188,18,FALSE),IF($C$1='Adj-Mixed'!$A$19,VLOOKUP(A184,'800'!$A$7:$AB$188,27,FALSE)))))</f>
        <v/>
      </c>
      <c r="F184" s="26" t="str">
        <f t="shared" si="20"/>
        <v/>
      </c>
      <c r="G184" s="27" t="str">
        <f t="shared" si="27"/>
        <v/>
      </c>
      <c r="I184" s="127" t="str">
        <f t="shared" si="26"/>
        <v/>
      </c>
      <c r="J184" s="25" t="str">
        <f>IF(A184&gt;200,"",C184*'Adj-Gilts'!$C$6)</f>
        <v/>
      </c>
      <c r="K184" s="26" t="str">
        <f>IF(A184&gt;200,"",D184*'Adj-Gilts'!$C$7)</f>
        <v/>
      </c>
      <c r="L184" s="1" t="str">
        <f t="shared" si="21"/>
        <v/>
      </c>
      <c r="M184" s="26" t="str">
        <f t="shared" si="22"/>
        <v/>
      </c>
      <c r="N184" s="30" t="str">
        <f t="shared" si="28"/>
        <v/>
      </c>
    </row>
    <row r="185" spans="1:14" x14ac:dyDescent="0.25">
      <c r="A185" s="114">
        <f t="shared" si="23"/>
        <v>203</v>
      </c>
      <c r="B185" s="127" t="str">
        <f>IF(A185&gt;200,"",IF($C$1='Adj-Mixed'!$A$21,VLOOKUP(A185,'800'!$A$6:$AB$188,3,FALSE),IF($C$1='Adj-Mixed'!$A$20,VLOOKUP(A185,'800'!$A$6:$AB$188,12,FALSE),IF($C$1='Adj-Mixed'!$A$19,VLOOKUP(A185,'800'!$A$6:$AB$188,21,FALSE)))))</f>
        <v/>
      </c>
      <c r="C185" s="126" t="str">
        <f t="shared" si="24"/>
        <v/>
      </c>
      <c r="D185" s="26" t="str">
        <f t="shared" si="25"/>
        <v/>
      </c>
      <c r="E185" s="26" t="str">
        <f>IF(A185&gt;200,"",IF($C$1='Adj-Mixed'!$A$21,VLOOKUP(A185,'800'!$A$7:$AB$188,9,FALSE),IF($C$1='Adj-Mixed'!$A$20,VLOOKUP(A185,'800'!$A$7:$AB$188,18,FALSE),IF($C$1='Adj-Mixed'!$A$19,VLOOKUP(A185,'800'!$A$7:$AB$188,27,FALSE)))))</f>
        <v/>
      </c>
      <c r="F185" s="26" t="str">
        <f t="shared" si="20"/>
        <v/>
      </c>
      <c r="G185" s="27" t="str">
        <f t="shared" si="27"/>
        <v/>
      </c>
      <c r="I185" s="127" t="str">
        <f t="shared" si="26"/>
        <v/>
      </c>
      <c r="J185" s="25" t="str">
        <f>IF(A185&gt;200,"",C185*'Adj-Gilts'!$C$6)</f>
        <v/>
      </c>
      <c r="K185" s="26" t="str">
        <f>IF(A185&gt;200,"",D185*'Adj-Gilts'!$C$7)</f>
        <v/>
      </c>
      <c r="L185" s="1" t="str">
        <f t="shared" si="21"/>
        <v/>
      </c>
      <c r="M185" s="26" t="str">
        <f t="shared" si="22"/>
        <v/>
      </c>
      <c r="N185" s="30" t="str">
        <f t="shared" si="28"/>
        <v/>
      </c>
    </row>
    <row r="186" spans="1:14" x14ac:dyDescent="0.25">
      <c r="B186" s="128"/>
      <c r="N186" s="2"/>
    </row>
    <row r="187" spans="1:14" x14ac:dyDescent="0.25">
      <c r="B187" s="128"/>
      <c r="N187" s="2"/>
    </row>
    <row r="188" spans="1:14" x14ac:dyDescent="0.25">
      <c r="B188" s="128"/>
      <c r="N188" s="2"/>
    </row>
    <row r="189" spans="1:14" x14ac:dyDescent="0.25">
      <c r="N189" s="2"/>
    </row>
    <row r="190" spans="1:14" x14ac:dyDescent="0.25">
      <c r="N190" s="2"/>
    </row>
    <row r="191" spans="1:14" x14ac:dyDescent="0.25">
      <c r="N191" s="2"/>
    </row>
    <row r="192" spans="1:14" x14ac:dyDescent="0.25">
      <c r="N192" s="2"/>
    </row>
    <row r="193" spans="14:14" x14ac:dyDescent="0.25">
      <c r="N193" s="2"/>
    </row>
    <row r="194" spans="14:14" x14ac:dyDescent="0.25">
      <c r="N194" s="2"/>
    </row>
    <row r="195" spans="14:14" x14ac:dyDescent="0.25">
      <c r="N195" s="2"/>
    </row>
    <row r="196" spans="14:14" x14ac:dyDescent="0.25">
      <c r="N196" s="2"/>
    </row>
    <row r="197" spans="14:14" x14ac:dyDescent="0.25">
      <c r="N197" s="2"/>
    </row>
    <row r="198" spans="14:14" x14ac:dyDescent="0.25">
      <c r="N198" s="2"/>
    </row>
    <row r="199" spans="14:14" x14ac:dyDescent="0.25">
      <c r="N199" s="2"/>
    </row>
    <row r="200" spans="14:14" x14ac:dyDescent="0.25">
      <c r="N200" s="2"/>
    </row>
    <row r="201" spans="14:14" x14ac:dyDescent="0.25">
      <c r="N201" s="2"/>
    </row>
    <row r="202" spans="14:14" x14ac:dyDescent="0.25">
      <c r="N202" s="2"/>
    </row>
    <row r="203" spans="14:14" x14ac:dyDescent="0.25">
      <c r="N203" s="2"/>
    </row>
    <row r="204" spans="14:14" x14ac:dyDescent="0.25">
      <c r="N204" s="2"/>
    </row>
    <row r="205" spans="14:14" x14ac:dyDescent="0.25">
      <c r="N205" s="2"/>
    </row>
    <row r="206" spans="14:14" x14ac:dyDescent="0.25">
      <c r="N206" s="2"/>
    </row>
    <row r="207" spans="14:14" x14ac:dyDescent="0.25">
      <c r="N207" s="2"/>
    </row>
    <row r="208" spans="14:14" x14ac:dyDescent="0.25">
      <c r="N208" s="2"/>
    </row>
  </sheetData>
  <mergeCells count="2">
    <mergeCell ref="C1:G1"/>
    <mergeCell ref="J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71229-8B0E-417C-BF98-4F7C6FBB8607}">
  <sheetPr codeName="Sheet3"/>
  <dimension ref="A1:AF188"/>
  <sheetViews>
    <sheetView zoomScale="70" zoomScaleNormal="70" workbookViewId="0">
      <pane xSplit="1" ySplit="5" topLeftCell="B39" activePane="bottomRight" state="frozen"/>
      <selection pane="topRight" activeCell="C23" sqref="C23"/>
      <selection pane="bottomLeft" activeCell="C23" sqref="C23"/>
      <selection pane="bottomRight" activeCell="D60" sqref="D60"/>
    </sheetView>
  </sheetViews>
  <sheetFormatPr defaultColWidth="9.140625" defaultRowHeight="15" x14ac:dyDescent="0.25"/>
  <cols>
    <col min="1" max="1" width="15" style="34" customWidth="1"/>
    <col min="2" max="3" width="10.140625" style="34" customWidth="1"/>
    <col min="4" max="4" width="10.140625" style="88" customWidth="1"/>
    <col min="5" max="6" width="10.140625" style="34" customWidth="1"/>
    <col min="7" max="7" width="10.140625" style="88" customWidth="1"/>
    <col min="8" max="9" width="10.140625" style="34" customWidth="1"/>
    <col min="10" max="10" width="10.140625" style="88" customWidth="1"/>
    <col min="11" max="12" width="10.140625" style="87" customWidth="1"/>
    <col min="13" max="13" width="10.140625" style="88" customWidth="1"/>
    <col min="14" max="15" width="10.140625" style="87" customWidth="1"/>
    <col min="16" max="16" width="10.140625" style="88" customWidth="1"/>
    <col min="17" max="18" width="10.140625" style="87" customWidth="1"/>
    <col min="19" max="19" width="10.140625" style="88" customWidth="1"/>
    <col min="20" max="21" width="10.140625" style="87" customWidth="1"/>
    <col min="22" max="22" width="10.140625" style="88" customWidth="1"/>
    <col min="23" max="24" width="10.140625" style="34" customWidth="1"/>
    <col min="25" max="25" width="10.140625" style="88" customWidth="1"/>
    <col min="26" max="27" width="10.140625" style="34" customWidth="1"/>
    <col min="28" max="28" width="10.140625" style="88" customWidth="1"/>
    <col min="29" max="16384" width="9.140625" style="34"/>
  </cols>
  <sheetData>
    <row r="1" spans="1:32" s="88" customFormat="1" x14ac:dyDescent="0.25">
      <c r="A1" s="216">
        <v>1</v>
      </c>
      <c r="B1" s="216">
        <v>2</v>
      </c>
      <c r="C1" s="216">
        <v>3</v>
      </c>
      <c r="D1" s="216">
        <v>4</v>
      </c>
      <c r="E1" s="216">
        <v>5</v>
      </c>
      <c r="F1" s="216">
        <v>6</v>
      </c>
      <c r="G1" s="216">
        <v>7</v>
      </c>
      <c r="H1" s="216">
        <v>8</v>
      </c>
      <c r="I1" s="216">
        <v>9</v>
      </c>
      <c r="J1" s="216">
        <v>10</v>
      </c>
      <c r="K1" s="216">
        <v>11</v>
      </c>
      <c r="L1" s="216">
        <v>12</v>
      </c>
      <c r="M1" s="216">
        <v>13</v>
      </c>
      <c r="N1" s="216">
        <v>14</v>
      </c>
      <c r="O1" s="216">
        <v>15</v>
      </c>
      <c r="P1" s="216">
        <v>16</v>
      </c>
      <c r="Q1" s="216">
        <v>17</v>
      </c>
      <c r="R1" s="216">
        <v>18</v>
      </c>
      <c r="S1" s="216">
        <v>19</v>
      </c>
      <c r="T1" s="216">
        <v>20</v>
      </c>
      <c r="U1" s="216">
        <v>21</v>
      </c>
      <c r="V1" s="216">
        <v>22</v>
      </c>
      <c r="W1" s="216">
        <v>23</v>
      </c>
      <c r="X1" s="216">
        <v>24</v>
      </c>
      <c r="Y1" s="216">
        <v>25</v>
      </c>
      <c r="Z1" s="216">
        <v>26</v>
      </c>
      <c r="AA1" s="216">
        <v>27</v>
      </c>
      <c r="AB1" s="216">
        <v>28</v>
      </c>
      <c r="AC1" s="216"/>
      <c r="AD1" s="216"/>
      <c r="AE1" s="216"/>
      <c r="AF1" s="216"/>
    </row>
    <row r="2" spans="1:32" ht="26.25" x14ac:dyDescent="0.4">
      <c r="A2" s="35" t="s">
        <v>6</v>
      </c>
      <c r="B2" s="225">
        <v>337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15"/>
      <c r="AC2" s="216"/>
      <c r="AD2" s="216"/>
      <c r="AE2" s="216"/>
      <c r="AF2" s="216"/>
    </row>
    <row r="3" spans="1:32" ht="18.75" x14ac:dyDescent="0.3">
      <c r="A3" s="35" t="s">
        <v>7</v>
      </c>
      <c r="B3" s="231" t="str">
        <f>'Adj-Mixed'!A21</f>
        <v>High energy diet</v>
      </c>
      <c r="C3" s="231"/>
      <c r="D3" s="231"/>
      <c r="E3" s="231"/>
      <c r="F3" s="231"/>
      <c r="G3" s="231"/>
      <c r="H3" s="231"/>
      <c r="I3" s="231"/>
      <c r="J3" s="232"/>
      <c r="K3" s="236" t="str">
        <f>'Adj-Mixed'!A20</f>
        <v>Moderate energy diet</v>
      </c>
      <c r="L3" s="237"/>
      <c r="M3" s="237"/>
      <c r="N3" s="237"/>
      <c r="O3" s="237"/>
      <c r="P3" s="237"/>
      <c r="Q3" s="237"/>
      <c r="R3" s="237"/>
      <c r="S3" s="238"/>
      <c r="T3" s="230" t="str">
        <f>'Adj-Mixed'!A19</f>
        <v>Low energy diet</v>
      </c>
      <c r="U3" s="230"/>
      <c r="V3" s="230"/>
      <c r="W3" s="230"/>
      <c r="X3" s="230"/>
      <c r="Y3" s="230"/>
      <c r="Z3" s="230"/>
      <c r="AA3" s="230"/>
      <c r="AB3" s="230"/>
      <c r="AC3" s="216"/>
      <c r="AD3" s="216"/>
      <c r="AE3" s="216"/>
      <c r="AF3" s="216"/>
    </row>
    <row r="4" spans="1:32" s="37" customFormat="1" ht="15.75" customHeight="1" x14ac:dyDescent="0.25">
      <c r="A4" s="36"/>
      <c r="B4" s="226" t="s">
        <v>1</v>
      </c>
      <c r="C4" s="227"/>
      <c r="D4" s="228"/>
      <c r="E4" s="226" t="s">
        <v>10</v>
      </c>
      <c r="F4" s="227"/>
      <c r="G4" s="228"/>
      <c r="H4" s="226" t="s">
        <v>4</v>
      </c>
      <c r="I4" s="227"/>
      <c r="J4" s="228"/>
      <c r="K4" s="233" t="s">
        <v>1</v>
      </c>
      <c r="L4" s="234"/>
      <c r="M4" s="235"/>
      <c r="N4" s="233" t="s">
        <v>10</v>
      </c>
      <c r="O4" s="234"/>
      <c r="P4" s="235"/>
      <c r="Q4" s="233" t="s">
        <v>4</v>
      </c>
      <c r="R4" s="234"/>
      <c r="S4" s="235"/>
      <c r="T4" s="229" t="s">
        <v>1</v>
      </c>
      <c r="U4" s="229"/>
      <c r="V4" s="229"/>
      <c r="W4" s="229" t="s">
        <v>10</v>
      </c>
      <c r="X4" s="229"/>
      <c r="Y4" s="229"/>
      <c r="Z4" s="229" t="s">
        <v>4</v>
      </c>
      <c r="AA4" s="229"/>
      <c r="AB4" s="229"/>
      <c r="AC4" s="214"/>
      <c r="AD4" s="224" t="s">
        <v>20</v>
      </c>
      <c r="AE4" s="224"/>
      <c r="AF4" s="224"/>
    </row>
    <row r="5" spans="1:32" ht="15.75" x14ac:dyDescent="0.25">
      <c r="A5" s="36" t="s">
        <v>11</v>
      </c>
      <c r="B5" s="38" t="s">
        <v>13</v>
      </c>
      <c r="C5" s="38" t="s">
        <v>14</v>
      </c>
      <c r="D5" s="38" t="s">
        <v>12</v>
      </c>
      <c r="E5" s="38" t="s">
        <v>13</v>
      </c>
      <c r="F5" s="38" t="s">
        <v>14</v>
      </c>
      <c r="G5" s="38" t="s">
        <v>12</v>
      </c>
      <c r="H5" s="38" t="s">
        <v>13</v>
      </c>
      <c r="I5" s="38" t="s">
        <v>14</v>
      </c>
      <c r="J5" s="38" t="s">
        <v>12</v>
      </c>
      <c r="K5" s="61" t="s">
        <v>13</v>
      </c>
      <c r="L5" s="61" t="s">
        <v>14</v>
      </c>
      <c r="M5" s="61" t="s">
        <v>12</v>
      </c>
      <c r="N5" s="61" t="s">
        <v>13</v>
      </c>
      <c r="O5" s="61" t="s">
        <v>14</v>
      </c>
      <c r="P5" s="61" t="s">
        <v>12</v>
      </c>
      <c r="Q5" s="61" t="s">
        <v>13</v>
      </c>
      <c r="R5" s="61" t="s">
        <v>14</v>
      </c>
      <c r="S5" s="61" t="s">
        <v>12</v>
      </c>
      <c r="T5" s="117" t="s">
        <v>13</v>
      </c>
      <c r="U5" s="117" t="s">
        <v>14</v>
      </c>
      <c r="V5" s="117" t="s">
        <v>12</v>
      </c>
      <c r="W5" s="117" t="s">
        <v>13</v>
      </c>
      <c r="X5" s="117" t="s">
        <v>14</v>
      </c>
      <c r="Y5" s="117" t="s">
        <v>12</v>
      </c>
      <c r="Z5" s="117" t="s">
        <v>13</v>
      </c>
      <c r="AA5" s="117" t="s">
        <v>14</v>
      </c>
      <c r="AB5" s="117" t="s">
        <v>12</v>
      </c>
      <c r="AC5" s="216"/>
      <c r="AD5" s="218" t="s">
        <v>8</v>
      </c>
      <c r="AE5" s="216" t="s">
        <v>21</v>
      </c>
      <c r="AF5" s="216" t="s">
        <v>9</v>
      </c>
    </row>
    <row r="6" spans="1:32" s="87" customFormat="1" ht="15.75" x14ac:dyDescent="0.25">
      <c r="A6" s="134">
        <v>18</v>
      </c>
      <c r="B6" s="110">
        <f>'800-Adj'!C7</f>
        <v>6.1562468291794143</v>
      </c>
      <c r="C6" s="110">
        <f>'800-Adj'!D7</f>
        <v>6.2479341563867958</v>
      </c>
      <c r="D6" s="110">
        <f>AVERAGE(B6:C6)</f>
        <v>6.2020904927831051</v>
      </c>
      <c r="E6" s="89"/>
      <c r="F6" s="89"/>
      <c r="G6" s="110"/>
      <c r="H6" s="89"/>
      <c r="I6" s="89"/>
      <c r="J6" s="110"/>
      <c r="K6" s="64">
        <f t="shared" ref="K6:K47" si="0">(B6+T6)/2</f>
        <v>6.0847258054730347</v>
      </c>
      <c r="L6" s="64">
        <f t="shared" ref="L6:L47" si="1">(C6+U6)/2</f>
        <v>6.1530129170737116</v>
      </c>
      <c r="M6" s="64">
        <f>AVERAGE(K6:L6)</f>
        <v>6.1188693612733731</v>
      </c>
      <c r="N6" s="90"/>
      <c r="O6" s="90"/>
      <c r="P6" s="90"/>
      <c r="Q6" s="90"/>
      <c r="R6" s="90"/>
      <c r="S6" s="90"/>
      <c r="T6" s="113">
        <f>'800-Adj'!L7</f>
        <v>6.013204781766655</v>
      </c>
      <c r="U6" s="113">
        <f>'800-Adj'!M7</f>
        <v>6.0580916777606282</v>
      </c>
      <c r="V6" s="113">
        <f>AVERAGE(T6:U6)</f>
        <v>6.0356482297636411</v>
      </c>
      <c r="W6" s="91"/>
      <c r="X6" s="91"/>
      <c r="Y6" s="91"/>
      <c r="Z6" s="91"/>
      <c r="AA6" s="91"/>
      <c r="AB6" s="91"/>
      <c r="AC6" s="216"/>
      <c r="AD6" s="133">
        <f>C6/B6</f>
        <v>1.014893380618334</v>
      </c>
      <c r="AE6" s="133">
        <f>L6/K6</f>
        <v>1.0112227097463051</v>
      </c>
      <c r="AF6" s="133">
        <f>U6/T6</f>
        <v>1.0074647209970431</v>
      </c>
    </row>
    <row r="7" spans="1:32" s="87" customFormat="1" ht="15.75" x14ac:dyDescent="0.25">
      <c r="A7" s="134">
        <v>19</v>
      </c>
      <c r="B7" s="110">
        <f>'800-Adj'!C8</f>
        <v>6.1627844364316404</v>
      </c>
      <c r="C7" s="110">
        <f>'800-Adj'!D8</f>
        <v>6.2545691307121629</v>
      </c>
      <c r="D7" s="110">
        <f t="shared" ref="D7:D70" si="2">AVERAGE(B7:C7)</f>
        <v>6.2086767835719012</v>
      </c>
      <c r="E7" s="111">
        <f>(B7-B6)*H7</f>
        <v>6.3613515404604875E-3</v>
      </c>
      <c r="F7" s="111">
        <f>(C7-C6)*I7</f>
        <v>6.456093570200004E-3</v>
      </c>
      <c r="G7" s="111">
        <f t="shared" ref="G7:G70" si="3">AVERAGE(E7:F7)</f>
        <v>6.4087225553302457E-3</v>
      </c>
      <c r="H7" s="111">
        <f>J7</f>
        <v>0.9730397215731228</v>
      </c>
      <c r="I7" s="111">
        <f>J7</f>
        <v>0.9730397215731228</v>
      </c>
      <c r="J7" s="111">
        <v>0.9730397215731228</v>
      </c>
      <c r="K7" s="64">
        <f t="shared" si="0"/>
        <v>6.0911874611956609</v>
      </c>
      <c r="L7" s="64">
        <f t="shared" si="1"/>
        <v>6.1595470900829943</v>
      </c>
      <c r="M7" s="64">
        <f t="shared" ref="M7:M70" si="4">AVERAGE(K7:L7)</f>
        <v>6.1253672756393271</v>
      </c>
      <c r="N7" s="67">
        <f>(E7+W7)/2</f>
        <v>6.3735051264025566E-3</v>
      </c>
      <c r="O7" s="67">
        <f>(F7+X7)/2</f>
        <v>6.4447097216075375E-3</v>
      </c>
      <c r="P7" s="116">
        <f t="shared" ref="P7:P70" si="5">AVERAGE(N7:O7)</f>
        <v>6.409107424005047E-3</v>
      </c>
      <c r="Q7" s="67">
        <f t="shared" ref="Q7:Q48" si="6">(H7+Z7)/2</f>
        <v>0.98651629965372312</v>
      </c>
      <c r="R7" s="67">
        <f t="shared" ref="R7:R48" si="7">(I7+AA7)/2</f>
        <v>0.98651629965372312</v>
      </c>
      <c r="S7" s="116">
        <f t="shared" ref="S7:S70" si="8">AVERAGE(Q7:R7)</f>
        <v>0.98651629965372312</v>
      </c>
      <c r="T7" s="113">
        <f>'800-Adj'!L8</f>
        <v>6.0195904859596814</v>
      </c>
      <c r="U7" s="113">
        <f>'800-Adj'!M8</f>
        <v>6.0645250494538256</v>
      </c>
      <c r="V7" s="113">
        <f t="shared" ref="V7:V70" si="9">AVERAGE(T7:U7)</f>
        <v>6.0420577677067531</v>
      </c>
      <c r="W7" s="112">
        <f>(T7-T6)*Z7</f>
        <v>6.3856587123446258E-3</v>
      </c>
      <c r="X7" s="112">
        <f>(U7-U6)*AA7</f>
        <v>6.4333258730150701E-3</v>
      </c>
      <c r="Y7" s="112">
        <f t="shared" ref="Y7" si="10">AVERAGE(W7:X7)</f>
        <v>6.4094922926798484E-3</v>
      </c>
      <c r="Z7" s="112">
        <f>AB7</f>
        <v>0.99999287773432344</v>
      </c>
      <c r="AA7" s="112">
        <f>AB7</f>
        <v>0.99999287773432344</v>
      </c>
      <c r="AB7" s="112">
        <v>0.99999287773432344</v>
      </c>
      <c r="AC7" s="216"/>
      <c r="AD7" s="133">
        <f t="shared" ref="AD7:AD70" si="11">C7/B7</f>
        <v>1.0148933806183342</v>
      </c>
      <c r="AE7" s="133">
        <f t="shared" ref="AE7:AE70" si="12">L7/K7</f>
        <v>1.0112227097463053</v>
      </c>
      <c r="AF7" s="133">
        <f t="shared" ref="AF7:AF70" si="13">U7/T7</f>
        <v>1.0074647209970431</v>
      </c>
    </row>
    <row r="8" spans="1:32" s="87" customFormat="1" ht="15.75" x14ac:dyDescent="0.25">
      <c r="A8" s="134">
        <v>20</v>
      </c>
      <c r="B8" s="110">
        <f>'800-Adj'!C9</f>
        <v>6.1966752467820738</v>
      </c>
      <c r="C8" s="110">
        <f>'800-Adj'!D9</f>
        <v>6.2889646898006095</v>
      </c>
      <c r="D8" s="110">
        <f t="shared" si="2"/>
        <v>6.2428199682913412</v>
      </c>
      <c r="E8" s="111">
        <f t="shared" ref="E8:E68" si="14">(B8-B7)*H8</f>
        <v>3.3306875713948469E-2</v>
      </c>
      <c r="F8" s="111">
        <f t="shared" ref="F8:F68" si="15">(C8-C7)*I8</f>
        <v>3.3802927691164268E-2</v>
      </c>
      <c r="G8" s="110">
        <f t="shared" si="3"/>
        <v>3.3554901702556372E-2</v>
      </c>
      <c r="H8" s="111">
        <f t="shared" ref="H8:H68" si="16">J8</f>
        <v>0.98277011878892817</v>
      </c>
      <c r="I8" s="111">
        <f t="shared" ref="I8:I68" si="17">J8</f>
        <v>0.98277011878892817</v>
      </c>
      <c r="J8" s="111">
        <v>0.98277011878892817</v>
      </c>
      <c r="K8" s="64">
        <f t="shared" si="0"/>
        <v>6.1246845405087011</v>
      </c>
      <c r="L8" s="64">
        <f t="shared" si="1"/>
        <v>6.1934200973945144</v>
      </c>
      <c r="M8" s="64">
        <f t="shared" si="4"/>
        <v>6.1590523189516073</v>
      </c>
      <c r="N8" s="67">
        <f t="shared" ref="N8:N48" si="18">(E8+W8)/2</f>
        <v>3.337050967190186E-2</v>
      </c>
      <c r="O8" s="67">
        <f t="shared" ref="O8:O48" si="19">(F8+X8)/2</f>
        <v>3.3743323937495705E-2</v>
      </c>
      <c r="P8" s="116">
        <f t="shared" si="5"/>
        <v>3.3556916804698786E-2</v>
      </c>
      <c r="Q8" s="67">
        <f t="shared" si="6"/>
        <v>0.99638146265030358</v>
      </c>
      <c r="R8" s="67">
        <f t="shared" si="7"/>
        <v>0.99638146265030358</v>
      </c>
      <c r="S8" s="116">
        <f t="shared" si="8"/>
        <v>0.99638146265030358</v>
      </c>
      <c r="T8" s="113">
        <f>'800-Adj'!L9</f>
        <v>6.0526938342353294</v>
      </c>
      <c r="U8" s="113">
        <f>'800-Adj'!M9</f>
        <v>6.0978755049884192</v>
      </c>
      <c r="V8" s="113">
        <f t="shared" si="9"/>
        <v>6.0752846696118743</v>
      </c>
      <c r="W8" s="112">
        <f t="shared" ref="W8:W71" si="20">(T8-T7)*Z8</f>
        <v>3.3434143629855251E-2</v>
      </c>
      <c r="X8" s="112">
        <f t="shared" ref="X8:X71" si="21">(U8-U7)*AA8</f>
        <v>3.3683720183827141E-2</v>
      </c>
      <c r="Y8" s="112">
        <f t="shared" ref="Y8:Y70" si="22">AVERAGE(W8:X8)</f>
        <v>3.35589319068412E-2</v>
      </c>
      <c r="Z8" s="112">
        <f t="shared" ref="Z8:Z71" si="23">AB8</f>
        <v>1.009992806511679</v>
      </c>
      <c r="AA8" s="112">
        <f t="shared" ref="AA8:AA71" si="24">AB8</f>
        <v>1.009992806511679</v>
      </c>
      <c r="AB8" s="112">
        <v>1.009992806511679</v>
      </c>
      <c r="AC8" s="216"/>
      <c r="AD8" s="133">
        <f t="shared" si="11"/>
        <v>1.0148933806183342</v>
      </c>
      <c r="AE8" s="133">
        <f t="shared" si="12"/>
        <v>1.0112227097463053</v>
      </c>
      <c r="AF8" s="133">
        <f t="shared" si="13"/>
        <v>1.0074647209970431</v>
      </c>
    </row>
    <row r="9" spans="1:32" s="87" customFormat="1" ht="15.75" x14ac:dyDescent="0.25">
      <c r="A9" s="134">
        <v>21</v>
      </c>
      <c r="B9" s="110">
        <f>'800-Adj'!C10</f>
        <v>6.2563294033180306</v>
      </c>
      <c r="C9" s="110">
        <f>'800-Adj'!D10</f>
        <v>6.3495072983953218</v>
      </c>
      <c r="D9" s="110">
        <f t="shared" si="2"/>
        <v>6.3029183508566762</v>
      </c>
      <c r="E9" s="111">
        <f t="shared" si="14"/>
        <v>5.9206781143757929E-2</v>
      </c>
      <c r="F9" s="111">
        <f t="shared" si="15"/>
        <v>6.0088570270518178E-2</v>
      </c>
      <c r="G9" s="110">
        <f t="shared" si="3"/>
        <v>5.9647675707138054E-2</v>
      </c>
      <c r="H9" s="111">
        <f t="shared" si="16"/>
        <v>0.9925005160046283</v>
      </c>
      <c r="I9" s="111">
        <f t="shared" si="17"/>
        <v>0.9925005160046283</v>
      </c>
      <c r="J9" s="111">
        <v>0.9925005160046283</v>
      </c>
      <c r="K9" s="64">
        <f t="shared" si="0"/>
        <v>6.1836456568755134</v>
      </c>
      <c r="L9" s="64">
        <f t="shared" si="1"/>
        <v>6.2530429172566286</v>
      </c>
      <c r="M9" s="64">
        <f t="shared" si="4"/>
        <v>6.2183442870660706</v>
      </c>
      <c r="N9" s="67">
        <f t="shared" si="18"/>
        <v>5.9319897782322648E-2</v>
      </c>
      <c r="O9" s="67">
        <f t="shared" si="19"/>
        <v>5.9982617781035044E-2</v>
      </c>
      <c r="P9" s="116">
        <f t="shared" si="5"/>
        <v>5.9651257781678846E-2</v>
      </c>
      <c r="Q9" s="67">
        <f t="shared" si="6"/>
        <v>1.0062466256468254</v>
      </c>
      <c r="R9" s="67">
        <f t="shared" si="7"/>
        <v>1.0062466256468254</v>
      </c>
      <c r="S9" s="116">
        <f t="shared" si="8"/>
        <v>1.0062466256468254</v>
      </c>
      <c r="T9" s="113">
        <f>'800-Adj'!L10</f>
        <v>6.1109619104329962</v>
      </c>
      <c r="U9" s="113">
        <f>'800-Adj'!M10</f>
        <v>6.1565785361179355</v>
      </c>
      <c r="V9" s="113">
        <f t="shared" si="9"/>
        <v>6.1337702232754658</v>
      </c>
      <c r="W9" s="112">
        <f t="shared" si="20"/>
        <v>5.9433014420887366E-2</v>
      </c>
      <c r="X9" s="112">
        <f t="shared" si="21"/>
        <v>5.9876665291551903E-2</v>
      </c>
      <c r="Y9" s="112">
        <f t="shared" si="22"/>
        <v>5.9654839856219638E-2</v>
      </c>
      <c r="Z9" s="112">
        <f t="shared" si="23"/>
        <v>1.0199927352890223</v>
      </c>
      <c r="AA9" s="112">
        <f t="shared" si="24"/>
        <v>1.0199927352890223</v>
      </c>
      <c r="AB9" s="112">
        <v>1.0199927352890223</v>
      </c>
      <c r="AC9" s="216"/>
      <c r="AD9" s="133">
        <f t="shared" si="11"/>
        <v>1.0148933806183342</v>
      </c>
      <c r="AE9" s="133">
        <f t="shared" si="12"/>
        <v>1.0112227097463053</v>
      </c>
      <c r="AF9" s="133">
        <f t="shared" si="13"/>
        <v>1.0074647209970431</v>
      </c>
    </row>
    <row r="10" spans="1:32" s="87" customFormat="1" ht="15.75" x14ac:dyDescent="0.25">
      <c r="A10" s="134">
        <v>22</v>
      </c>
      <c r="B10" s="110">
        <f>'800-Adj'!C11</f>
        <v>6.3414860824493076</v>
      </c>
      <c r="C10" s="110">
        <f>'800-Adj'!D11</f>
        <v>6.4359322483610937</v>
      </c>
      <c r="D10" s="110">
        <f t="shared" si="2"/>
        <v>6.3887091654052011</v>
      </c>
      <c r="E10" s="111">
        <f t="shared" si="14"/>
        <v>8.5346656292554682E-2</v>
      </c>
      <c r="F10" s="111">
        <f t="shared" si="15"/>
        <v>8.6617756529221254E-2</v>
      </c>
      <c r="G10" s="110">
        <f t="shared" si="3"/>
        <v>8.5982206410887968E-2</v>
      </c>
      <c r="H10" s="111">
        <f t="shared" si="16"/>
        <v>1.0022309132203806</v>
      </c>
      <c r="I10" s="111">
        <f t="shared" si="17"/>
        <v>1.0022309132203806</v>
      </c>
      <c r="J10" s="111">
        <v>1.0022309132203806</v>
      </c>
      <c r="K10" s="64">
        <f t="shared" si="0"/>
        <v>6.2678130168589554</v>
      </c>
      <c r="L10" s="64">
        <f t="shared" si="1"/>
        <v>6.3381548630912778</v>
      </c>
      <c r="M10" s="64">
        <f t="shared" si="4"/>
        <v>6.3029839399751166</v>
      </c>
      <c r="N10" s="67">
        <f t="shared" si="18"/>
        <v>8.5509714082321886E-2</v>
      </c>
      <c r="O10" s="67">
        <f t="shared" si="19"/>
        <v>8.6465025870189449E-2</v>
      </c>
      <c r="P10" s="116">
        <f t="shared" si="5"/>
        <v>8.5987369976255668E-2</v>
      </c>
      <c r="Q10" s="67">
        <f t="shared" si="6"/>
        <v>1.0161117886433804</v>
      </c>
      <c r="R10" s="67">
        <f t="shared" si="7"/>
        <v>1.0161117886433804</v>
      </c>
      <c r="S10" s="116">
        <f t="shared" si="8"/>
        <v>1.0161117886433804</v>
      </c>
      <c r="T10" s="113">
        <f>'800-Adj'!L11</f>
        <v>6.1941399512686033</v>
      </c>
      <c r="U10" s="113">
        <f>'800-Adj'!M11</f>
        <v>6.2403774778214611</v>
      </c>
      <c r="V10" s="113">
        <f t="shared" si="9"/>
        <v>6.2172587145450322</v>
      </c>
      <c r="W10" s="112">
        <f t="shared" si="20"/>
        <v>8.567277187208909E-2</v>
      </c>
      <c r="X10" s="112">
        <f t="shared" si="21"/>
        <v>8.6312295211157644E-2</v>
      </c>
      <c r="Y10" s="112">
        <f t="shared" si="22"/>
        <v>8.5992533541623367E-2</v>
      </c>
      <c r="Z10" s="112">
        <f t="shared" si="23"/>
        <v>1.0299926640663799</v>
      </c>
      <c r="AA10" s="112">
        <f t="shared" si="24"/>
        <v>1.0299926640663799</v>
      </c>
      <c r="AB10" s="112">
        <v>1.0299926640663799</v>
      </c>
      <c r="AC10" s="216"/>
      <c r="AD10" s="133">
        <f t="shared" si="11"/>
        <v>1.0148933806183342</v>
      </c>
      <c r="AE10" s="133">
        <f t="shared" si="12"/>
        <v>1.0112227097463053</v>
      </c>
      <c r="AF10" s="133">
        <f t="shared" si="13"/>
        <v>1.0074647209970431</v>
      </c>
    </row>
    <row r="11" spans="1:32" s="87" customFormat="1" ht="15.75" x14ac:dyDescent="0.25">
      <c r="A11" s="134">
        <v>23</v>
      </c>
      <c r="B11" s="110">
        <f>'800-Adj'!C12</f>
        <v>6.4515522022550851</v>
      </c>
      <c r="C11" s="110">
        <f>'800-Adj'!D12</f>
        <v>6.5476376247823218</v>
      </c>
      <c r="D11" s="110">
        <f t="shared" si="2"/>
        <v>6.4995949135187034</v>
      </c>
      <c r="E11" s="111">
        <f t="shared" si="14"/>
        <v>0.11138265483327196</v>
      </c>
      <c r="F11" s="111">
        <f t="shared" si="15"/>
        <v>0.11304151910598442</v>
      </c>
      <c r="G11" s="110">
        <f t="shared" si="3"/>
        <v>0.1122120869696282</v>
      </c>
      <c r="H11" s="111">
        <f t="shared" si="16"/>
        <v>1.0119613104361052</v>
      </c>
      <c r="I11" s="111">
        <f t="shared" si="17"/>
        <v>1.0119613104361052</v>
      </c>
      <c r="J11" s="111">
        <v>1.0119613104361052</v>
      </c>
      <c r="K11" s="64">
        <f t="shared" si="0"/>
        <v>6.3766004287470146</v>
      </c>
      <c r="L11" s="64">
        <f t="shared" si="1"/>
        <v>6.4481631645270081</v>
      </c>
      <c r="M11" s="64">
        <f t="shared" si="4"/>
        <v>6.4123817966370114</v>
      </c>
      <c r="N11" s="67">
        <f t="shared" si="18"/>
        <v>0.11159545531432745</v>
      </c>
      <c r="O11" s="67">
        <f t="shared" si="19"/>
        <v>0.11284219616802302</v>
      </c>
      <c r="P11" s="116">
        <f t="shared" si="5"/>
        <v>0.11221882574117523</v>
      </c>
      <c r="Q11" s="67">
        <f t="shared" si="6"/>
        <v>1.0259769516399093</v>
      </c>
      <c r="R11" s="67">
        <f t="shared" si="7"/>
        <v>1.0259769516399093</v>
      </c>
      <c r="S11" s="116">
        <f t="shared" si="8"/>
        <v>1.0259769516399093</v>
      </c>
      <c r="T11" s="113">
        <f>'800-Adj'!L12</f>
        <v>6.301648655238945</v>
      </c>
      <c r="U11" s="113">
        <f>'800-Adj'!M12</f>
        <v>6.3486887042716953</v>
      </c>
      <c r="V11" s="113">
        <f t="shared" si="9"/>
        <v>6.3251686797553202</v>
      </c>
      <c r="W11" s="112">
        <f t="shared" si="20"/>
        <v>0.11180825579538294</v>
      </c>
      <c r="X11" s="112">
        <f t="shared" si="21"/>
        <v>0.11264287323006163</v>
      </c>
      <c r="Y11" s="112">
        <f t="shared" si="22"/>
        <v>0.11222556451272228</v>
      </c>
      <c r="Z11" s="112">
        <f t="shared" si="23"/>
        <v>1.0399925928437135</v>
      </c>
      <c r="AA11" s="112">
        <f t="shared" si="24"/>
        <v>1.0399925928437135</v>
      </c>
      <c r="AB11" s="112">
        <v>1.0399925928437135</v>
      </c>
      <c r="AC11" s="216"/>
      <c r="AD11" s="133">
        <f t="shared" si="11"/>
        <v>1.0148933806183342</v>
      </c>
      <c r="AE11" s="133">
        <f t="shared" si="12"/>
        <v>1.0112227097463053</v>
      </c>
      <c r="AF11" s="133">
        <f t="shared" si="13"/>
        <v>1.0074647209970431</v>
      </c>
    </row>
    <row r="12" spans="1:32" s="87" customFormat="1" ht="15.75" x14ac:dyDescent="0.25">
      <c r="A12" s="134">
        <v>24</v>
      </c>
      <c r="B12" s="110">
        <f>'800-Adj'!C13</f>
        <v>6.5859346808145416</v>
      </c>
      <c r="C12" s="110">
        <f>'800-Adj'!D13</f>
        <v>6.6840215127433993</v>
      </c>
      <c r="D12" s="110">
        <f t="shared" si="2"/>
        <v>6.6349780967789709</v>
      </c>
      <c r="E12" s="111">
        <f t="shared" si="14"/>
        <v>0.13729746399789658</v>
      </c>
      <c r="F12" s="111">
        <f t="shared" si="15"/>
        <v>0.13934228738714913</v>
      </c>
      <c r="G12" s="110">
        <f t="shared" si="3"/>
        <v>0.13831987569252285</v>
      </c>
      <c r="H12" s="111">
        <f t="shared" si="16"/>
        <v>1.0216917076518301</v>
      </c>
      <c r="I12" s="111">
        <f t="shared" si="17"/>
        <v>1.0216917076518301</v>
      </c>
      <c r="J12" s="111">
        <v>1.0216917076518301</v>
      </c>
      <c r="K12" s="64">
        <f t="shared" si="0"/>
        <v>6.5094217008276765</v>
      </c>
      <c r="L12" s="64">
        <f t="shared" si="1"/>
        <v>6.5824750511923664</v>
      </c>
      <c r="M12" s="64">
        <f t="shared" si="4"/>
        <v>6.5459483760100214</v>
      </c>
      <c r="N12" s="67">
        <f t="shared" si="18"/>
        <v>0.13755977563367325</v>
      </c>
      <c r="O12" s="67">
        <f t="shared" si="19"/>
        <v>0.13909658904264757</v>
      </c>
      <c r="P12" s="116">
        <f t="shared" si="5"/>
        <v>0.13832818233816041</v>
      </c>
      <c r="Q12" s="67">
        <f t="shared" si="6"/>
        <v>1.0358421146364436</v>
      </c>
      <c r="R12" s="67">
        <f t="shared" si="7"/>
        <v>1.0358421146364436</v>
      </c>
      <c r="S12" s="116">
        <f t="shared" si="8"/>
        <v>1.0358421146364436</v>
      </c>
      <c r="T12" s="113">
        <f>'800-Adj'!L13</f>
        <v>6.4329087208408122</v>
      </c>
      <c r="U12" s="113">
        <f>'800-Adj'!M13</f>
        <v>6.4809285896413336</v>
      </c>
      <c r="V12" s="113">
        <f t="shared" si="9"/>
        <v>6.4569186552410729</v>
      </c>
      <c r="W12" s="112">
        <f t="shared" si="20"/>
        <v>0.13782208726944992</v>
      </c>
      <c r="X12" s="112">
        <f t="shared" si="21"/>
        <v>0.13885089069814602</v>
      </c>
      <c r="Y12" s="112">
        <f t="shared" si="22"/>
        <v>0.13833648898379797</v>
      </c>
      <c r="Z12" s="112">
        <f t="shared" si="23"/>
        <v>1.0499925216210571</v>
      </c>
      <c r="AA12" s="112">
        <f t="shared" si="24"/>
        <v>1.0499925216210571</v>
      </c>
      <c r="AB12" s="112">
        <v>1.0499925216210571</v>
      </c>
      <c r="AC12" s="216"/>
      <c r="AD12" s="133">
        <f t="shared" si="11"/>
        <v>1.014893380618334</v>
      </c>
      <c r="AE12" s="133">
        <f t="shared" si="12"/>
        <v>1.0112227097463053</v>
      </c>
      <c r="AF12" s="133">
        <f t="shared" si="13"/>
        <v>1.0074647209970431</v>
      </c>
    </row>
    <row r="13" spans="1:32" s="87" customFormat="1" ht="15.75" x14ac:dyDescent="0.25">
      <c r="A13" s="134">
        <v>25</v>
      </c>
      <c r="B13" s="110">
        <f>'800-Adj'!C14</f>
        <v>6.7440404362068538</v>
      </c>
      <c r="C13" s="110">
        <f>'800-Adj'!D14</f>
        <v>6.8444819973287192</v>
      </c>
      <c r="D13" s="110">
        <f t="shared" si="2"/>
        <v>6.7942612167677865</v>
      </c>
      <c r="E13" s="111">
        <f t="shared" si="14"/>
        <v>0.16307377101841627</v>
      </c>
      <c r="F13" s="111">
        <f t="shared" si="15"/>
        <v>0.1655024907590614</v>
      </c>
      <c r="G13" s="110">
        <f t="shared" si="3"/>
        <v>0.16428813088873884</v>
      </c>
      <c r="H13" s="111">
        <f t="shared" si="16"/>
        <v>1.0314221048675729</v>
      </c>
      <c r="I13" s="111">
        <f t="shared" si="17"/>
        <v>1.0314221048675729</v>
      </c>
      <c r="J13" s="111">
        <v>1.0314221048675729</v>
      </c>
      <c r="K13" s="64">
        <f t="shared" si="0"/>
        <v>6.6656906413889256</v>
      </c>
      <c r="L13" s="64">
        <f t="shared" si="1"/>
        <v>6.7404977527158962</v>
      </c>
      <c r="M13" s="64">
        <f t="shared" si="4"/>
        <v>6.7030941970524109</v>
      </c>
      <c r="N13" s="67">
        <f t="shared" si="18"/>
        <v>0.1633853291956946</v>
      </c>
      <c r="O13" s="67">
        <f t="shared" si="19"/>
        <v>0.16521066486217906</v>
      </c>
      <c r="P13" s="116">
        <f t="shared" si="5"/>
        <v>0.16429799702893683</v>
      </c>
      <c r="Q13" s="67">
        <f t="shared" si="6"/>
        <v>1.0457072776329897</v>
      </c>
      <c r="R13" s="67">
        <f t="shared" si="7"/>
        <v>1.0457072776329897</v>
      </c>
      <c r="S13" s="116">
        <f t="shared" si="8"/>
        <v>1.0457072776329897</v>
      </c>
      <c r="T13" s="113">
        <f>'800-Adj'!L14</f>
        <v>6.5873408465709966</v>
      </c>
      <c r="U13" s="113">
        <f>'800-Adj'!M14</f>
        <v>6.6365135081030742</v>
      </c>
      <c r="V13" s="113">
        <f t="shared" si="9"/>
        <v>6.6119271773370354</v>
      </c>
      <c r="W13" s="112">
        <f t="shared" si="20"/>
        <v>0.16369688737297294</v>
      </c>
      <c r="X13" s="112">
        <f t="shared" si="21"/>
        <v>0.16491883896529669</v>
      </c>
      <c r="Y13" s="112">
        <f t="shared" si="22"/>
        <v>0.16430786316913482</v>
      </c>
      <c r="Z13" s="112">
        <f t="shared" si="23"/>
        <v>1.0599924503984064</v>
      </c>
      <c r="AA13" s="112">
        <f t="shared" si="24"/>
        <v>1.0599924503984064</v>
      </c>
      <c r="AB13" s="112">
        <v>1.0599924503984064</v>
      </c>
      <c r="AC13" s="216"/>
      <c r="AD13" s="133">
        <f t="shared" si="11"/>
        <v>1.0148933806183342</v>
      </c>
      <c r="AE13" s="133">
        <f t="shared" si="12"/>
        <v>1.0112227097463051</v>
      </c>
      <c r="AF13" s="133">
        <f t="shared" si="13"/>
        <v>1.0074647209970431</v>
      </c>
    </row>
    <row r="14" spans="1:32" s="87" customFormat="1" ht="15.75" x14ac:dyDescent="0.25">
      <c r="A14" s="134">
        <v>26</v>
      </c>
      <c r="B14" s="110">
        <f>'800-Adj'!C15</f>
        <v>6.9252763865112037</v>
      </c>
      <c r="C14" s="110">
        <f>'800-Adj'!D15</f>
        <v>7.0284171636226764</v>
      </c>
      <c r="D14" s="110">
        <f t="shared" si="2"/>
        <v>6.9768467750669405</v>
      </c>
      <c r="E14" s="111">
        <f t="shared" si="14"/>
        <v>0.19045776091304981</v>
      </c>
      <c r="F14" s="111">
        <f t="shared" si="15"/>
        <v>0.19329432083804263</v>
      </c>
      <c r="G14" s="110">
        <f t="shared" si="3"/>
        <v>0.19187604087554622</v>
      </c>
      <c r="H14" s="111">
        <f t="shared" si="16"/>
        <v>1.050882899299028</v>
      </c>
      <c r="I14" s="111">
        <f t="shared" si="17"/>
        <v>1.050882899299028</v>
      </c>
      <c r="J14" s="111">
        <v>1.050882899299028</v>
      </c>
      <c r="K14" s="64">
        <f t="shared" si="0"/>
        <v>6.8448210587187477</v>
      </c>
      <c r="L14" s="64">
        <f t="shared" si="1"/>
        <v>6.9216384987261463</v>
      </c>
      <c r="M14" s="64">
        <f t="shared" si="4"/>
        <v>6.8832297787224466</v>
      </c>
      <c r="N14" s="67">
        <f t="shared" si="18"/>
        <v>0.19082163716652656</v>
      </c>
      <c r="O14" s="67">
        <f t="shared" si="19"/>
        <v>0.19295349038720139</v>
      </c>
      <c r="P14" s="116">
        <f t="shared" si="5"/>
        <v>0.19188756377686397</v>
      </c>
      <c r="Q14" s="67">
        <f t="shared" si="6"/>
        <v>1.0654376036260573</v>
      </c>
      <c r="R14" s="67">
        <f t="shared" si="7"/>
        <v>1.0654376036260573</v>
      </c>
      <c r="S14" s="116">
        <f t="shared" si="8"/>
        <v>1.0654376036260573</v>
      </c>
      <c r="T14" s="113">
        <f>'800-Adj'!L15</f>
        <v>6.7643657309262917</v>
      </c>
      <c r="U14" s="113">
        <f>'800-Adj'!M15</f>
        <v>6.8148598338296154</v>
      </c>
      <c r="V14" s="113">
        <f t="shared" si="9"/>
        <v>6.7896127823779535</v>
      </c>
      <c r="W14" s="112">
        <f t="shared" si="20"/>
        <v>0.19118551342000334</v>
      </c>
      <c r="X14" s="112">
        <f t="shared" si="21"/>
        <v>0.19261265993636012</v>
      </c>
      <c r="Y14" s="112">
        <f t="shared" si="22"/>
        <v>0.19189908667818173</v>
      </c>
      <c r="Z14" s="112">
        <f t="shared" si="23"/>
        <v>1.0799923079530864</v>
      </c>
      <c r="AA14" s="112">
        <f t="shared" si="24"/>
        <v>1.0799923079530864</v>
      </c>
      <c r="AB14" s="112">
        <v>1.0799923079530864</v>
      </c>
      <c r="AC14" s="216"/>
      <c r="AD14" s="133">
        <f t="shared" si="11"/>
        <v>1.014893380618334</v>
      </c>
      <c r="AE14" s="133">
        <f t="shared" si="12"/>
        <v>1.0112227097463053</v>
      </c>
      <c r="AF14" s="133">
        <f t="shared" si="13"/>
        <v>1.0074647209970431</v>
      </c>
    </row>
    <row r="15" spans="1:32" s="87" customFormat="1" ht="15.75" x14ac:dyDescent="0.25">
      <c r="A15" s="134">
        <v>27</v>
      </c>
      <c r="B15" s="110">
        <f>'800-Adj'!C16</f>
        <v>7.1290494498067662</v>
      </c>
      <c r="C15" s="110">
        <f>'800-Adj'!D16</f>
        <v>7.2352250967096641</v>
      </c>
      <c r="D15" s="110">
        <f t="shared" si="2"/>
        <v>7.1821372732582152</v>
      </c>
      <c r="E15" s="111">
        <f t="shared" si="14"/>
        <v>0.21696339233163536</v>
      </c>
      <c r="F15" s="111">
        <f t="shared" si="15"/>
        <v>0.22019471071387578</v>
      </c>
      <c r="G15" s="110">
        <f t="shared" si="3"/>
        <v>0.21857905152275559</v>
      </c>
      <c r="H15" s="111">
        <f t="shared" si="16"/>
        <v>1.0647304841118324</v>
      </c>
      <c r="I15" s="111">
        <f t="shared" si="17"/>
        <v>1.0647304841118324</v>
      </c>
      <c r="J15" s="111">
        <v>1.0647304841118324</v>
      </c>
      <c r="K15" s="64">
        <f t="shared" si="0"/>
        <v>7.0462267611051264</v>
      </c>
      <c r="L15" s="64">
        <f t="shared" si="1"/>
        <v>7.1253045188516584</v>
      </c>
      <c r="M15" s="64">
        <f t="shared" si="4"/>
        <v>7.0857656399783924</v>
      </c>
      <c r="N15" s="67">
        <f t="shared" si="18"/>
        <v>0.21737790852653774</v>
      </c>
      <c r="O15" s="67">
        <f t="shared" si="19"/>
        <v>0.21980644756056561</v>
      </c>
      <c r="P15" s="116">
        <f t="shared" si="5"/>
        <v>0.21859217804355169</v>
      </c>
      <c r="Q15" s="67">
        <f t="shared" si="6"/>
        <v>1.0794769771745318</v>
      </c>
      <c r="R15" s="67">
        <f t="shared" si="7"/>
        <v>1.0794769771745318</v>
      </c>
      <c r="S15" s="116">
        <f t="shared" si="8"/>
        <v>1.0794769771745318</v>
      </c>
      <c r="T15" s="113">
        <f>'800-Adj'!L16</f>
        <v>6.9634040724034874</v>
      </c>
      <c r="U15" s="113">
        <f>'800-Adj'!M16</f>
        <v>7.0153839409936527</v>
      </c>
      <c r="V15" s="113">
        <f t="shared" si="9"/>
        <v>6.9893940066985696</v>
      </c>
      <c r="W15" s="112">
        <f t="shared" si="20"/>
        <v>0.21779242472144011</v>
      </c>
      <c r="X15" s="112">
        <f t="shared" si="21"/>
        <v>0.21941818440725541</v>
      </c>
      <c r="Y15" s="112">
        <f t="shared" si="22"/>
        <v>0.21860530456434776</v>
      </c>
      <c r="Z15" s="112">
        <f t="shared" si="23"/>
        <v>1.0942234702372313</v>
      </c>
      <c r="AA15" s="112">
        <f t="shared" si="24"/>
        <v>1.0942234702372313</v>
      </c>
      <c r="AB15" s="112">
        <v>1.0942234702372313</v>
      </c>
      <c r="AC15" s="216"/>
      <c r="AD15" s="133">
        <f t="shared" si="11"/>
        <v>1.0148933806183342</v>
      </c>
      <c r="AE15" s="133">
        <f t="shared" si="12"/>
        <v>1.0112227097463053</v>
      </c>
      <c r="AF15" s="133">
        <f t="shared" si="13"/>
        <v>1.0074647209970431</v>
      </c>
    </row>
    <row r="16" spans="1:32" s="87" customFormat="1" ht="15.75" x14ac:dyDescent="0.25">
      <c r="A16" s="134">
        <v>28</v>
      </c>
      <c r="B16" s="110">
        <f>'800-Adj'!C17</f>
        <v>7.3547665441727226</v>
      </c>
      <c r="C16" s="110">
        <f>'800-Adj'!D17</f>
        <v>7.464303881674077</v>
      </c>
      <c r="D16" s="110">
        <f t="shared" si="2"/>
        <v>7.4095352129233998</v>
      </c>
      <c r="E16" s="111">
        <f t="shared" si="14"/>
        <v>0.24346902375022184</v>
      </c>
      <c r="F16" s="111">
        <f t="shared" si="15"/>
        <v>0.24709510058970807</v>
      </c>
      <c r="G16" s="110">
        <f t="shared" si="3"/>
        <v>0.24528206216996495</v>
      </c>
      <c r="H16" s="111">
        <f t="shared" si="16"/>
        <v>1.078646809778103</v>
      </c>
      <c r="I16" s="111">
        <f t="shared" si="17"/>
        <v>1.078646809778103</v>
      </c>
      <c r="J16" s="111">
        <v>1.078646809778103</v>
      </c>
      <c r="K16" s="64">
        <f t="shared" si="0"/>
        <v>7.2693215568360507</v>
      </c>
      <c r="L16" s="64">
        <f t="shared" si="1"/>
        <v>7.3509030427209812</v>
      </c>
      <c r="M16" s="64">
        <f t="shared" si="4"/>
        <v>7.310112299778516</v>
      </c>
      <c r="N16" s="67">
        <f t="shared" si="18"/>
        <v>0.24393417988654931</v>
      </c>
      <c r="O16" s="67">
        <f t="shared" si="19"/>
        <v>0.24665940473392947</v>
      </c>
      <c r="P16" s="116">
        <f t="shared" si="5"/>
        <v>0.24529679231023938</v>
      </c>
      <c r="Q16" s="67">
        <f t="shared" si="6"/>
        <v>1.093586043635733</v>
      </c>
      <c r="R16" s="67">
        <f t="shared" si="7"/>
        <v>1.093586043635733</v>
      </c>
      <c r="S16" s="116">
        <f t="shared" si="8"/>
        <v>1.093586043635733</v>
      </c>
      <c r="T16" s="113">
        <f>'800-Adj'!L17</f>
        <v>7.183876569499378</v>
      </c>
      <c r="U16" s="113">
        <f>'800-Adj'!M17</f>
        <v>7.2375022037678862</v>
      </c>
      <c r="V16" s="113">
        <f t="shared" si="9"/>
        <v>7.2106893866336321</v>
      </c>
      <c r="W16" s="112">
        <f t="shared" si="20"/>
        <v>0.24439933602287681</v>
      </c>
      <c r="X16" s="112">
        <f t="shared" si="21"/>
        <v>0.24622370887815087</v>
      </c>
      <c r="Y16" s="112">
        <f t="shared" si="22"/>
        <v>0.24531152245051385</v>
      </c>
      <c r="Z16" s="112">
        <f t="shared" si="23"/>
        <v>1.1085252774933627</v>
      </c>
      <c r="AA16" s="112">
        <f t="shared" si="24"/>
        <v>1.1085252774933627</v>
      </c>
      <c r="AB16" s="112">
        <v>1.1085252774933627</v>
      </c>
      <c r="AC16" s="216"/>
      <c r="AD16" s="133">
        <f t="shared" si="11"/>
        <v>1.0148933806183342</v>
      </c>
      <c r="AE16" s="133">
        <f t="shared" si="12"/>
        <v>1.0112227097463051</v>
      </c>
      <c r="AF16" s="133">
        <f t="shared" si="13"/>
        <v>1.0074647209970431</v>
      </c>
    </row>
    <row r="17" spans="1:32" s="87" customFormat="1" ht="15.75" x14ac:dyDescent="0.25">
      <c r="A17" s="134">
        <v>29</v>
      </c>
      <c r="B17" s="110">
        <f>'800-Adj'!C18</f>
        <v>7.6018345876882503</v>
      </c>
      <c r="C17" s="110">
        <f>'800-Adj'!D18</f>
        <v>7.7150516036003092</v>
      </c>
      <c r="D17" s="110">
        <f t="shared" si="2"/>
        <v>7.6584430956442802</v>
      </c>
      <c r="E17" s="111">
        <f t="shared" si="14"/>
        <v>0.26997465516880775</v>
      </c>
      <c r="F17" s="111">
        <f t="shared" si="15"/>
        <v>0.27399549046554095</v>
      </c>
      <c r="G17" s="110">
        <f t="shared" si="3"/>
        <v>0.27198507281717432</v>
      </c>
      <c r="H17" s="111">
        <f t="shared" si="16"/>
        <v>1.0927137776595557</v>
      </c>
      <c r="I17" s="111">
        <f t="shared" si="17"/>
        <v>1.0927137776595557</v>
      </c>
      <c r="J17" s="111">
        <v>1.0927137776595557</v>
      </c>
      <c r="K17" s="64">
        <f t="shared" si="0"/>
        <v>7.5135192541995028</v>
      </c>
      <c r="L17" s="64">
        <f t="shared" si="1"/>
        <v>7.5978412999626599</v>
      </c>
      <c r="M17" s="64">
        <f t="shared" si="4"/>
        <v>7.5556802770810814</v>
      </c>
      <c r="N17" s="67">
        <f t="shared" si="18"/>
        <v>0.27049045124656107</v>
      </c>
      <c r="O17" s="67">
        <f t="shared" si="19"/>
        <v>0.27351236190729322</v>
      </c>
      <c r="P17" s="116">
        <f t="shared" si="5"/>
        <v>0.27200140657692717</v>
      </c>
      <c r="Q17" s="67">
        <f t="shared" si="6"/>
        <v>1.1078478387033841</v>
      </c>
      <c r="R17" s="67">
        <f t="shared" si="7"/>
        <v>1.1078478387033841</v>
      </c>
      <c r="S17" s="116">
        <f t="shared" si="8"/>
        <v>1.1078478387033841</v>
      </c>
      <c r="T17" s="113">
        <f>'800-Adj'!L18</f>
        <v>7.4252039207107545</v>
      </c>
      <c r="U17" s="113">
        <f>'800-Adj'!M18</f>
        <v>7.4806309963250106</v>
      </c>
      <c r="V17" s="113">
        <f t="shared" si="9"/>
        <v>7.4529174585178826</v>
      </c>
      <c r="W17" s="112">
        <f t="shared" si="20"/>
        <v>0.27100624732431439</v>
      </c>
      <c r="X17" s="112">
        <f t="shared" si="21"/>
        <v>0.27302923334904555</v>
      </c>
      <c r="Y17" s="112">
        <f t="shared" si="22"/>
        <v>0.27201774033667997</v>
      </c>
      <c r="Z17" s="112">
        <f t="shared" si="23"/>
        <v>1.1229818997472127</v>
      </c>
      <c r="AA17" s="112">
        <f t="shared" si="24"/>
        <v>1.1229818997472127</v>
      </c>
      <c r="AB17" s="112">
        <v>1.1229818997472127</v>
      </c>
      <c r="AC17" s="216"/>
      <c r="AD17" s="133">
        <f t="shared" si="11"/>
        <v>1.0148933806183342</v>
      </c>
      <c r="AE17" s="133">
        <f t="shared" si="12"/>
        <v>1.0112227097463053</v>
      </c>
      <c r="AF17" s="133">
        <f t="shared" si="13"/>
        <v>1.0074647209970431</v>
      </c>
    </row>
    <row r="18" spans="1:32" s="87" customFormat="1" ht="15.75" x14ac:dyDescent="0.25">
      <c r="A18" s="134">
        <v>30</v>
      </c>
      <c r="B18" s="110">
        <f>'800-Adj'!C19</f>
        <v>7.8696604984325278</v>
      </c>
      <c r="C18" s="110">
        <f>'800-Adj'!D19</f>
        <v>7.9868663475727528</v>
      </c>
      <c r="D18" s="110">
        <f t="shared" si="2"/>
        <v>7.9282634230026403</v>
      </c>
      <c r="E18" s="111">
        <f t="shared" si="14"/>
        <v>0.2964802865873945</v>
      </c>
      <c r="F18" s="111">
        <f t="shared" si="15"/>
        <v>0.30089588034137293</v>
      </c>
      <c r="G18" s="110">
        <f t="shared" si="3"/>
        <v>0.29868808346438369</v>
      </c>
      <c r="H18" s="111">
        <f t="shared" si="16"/>
        <v>1.1069888113643958</v>
      </c>
      <c r="I18" s="111">
        <f t="shared" si="17"/>
        <v>1.1069888113643958</v>
      </c>
      <c r="J18" s="111">
        <v>1.1069888113643958</v>
      </c>
      <c r="K18" s="64">
        <f t="shared" si="0"/>
        <v>7.7782336614834682</v>
      </c>
      <c r="L18" s="64">
        <f t="shared" si="1"/>
        <v>7.8655265202052389</v>
      </c>
      <c r="M18" s="64">
        <f t="shared" si="4"/>
        <v>7.8218800908443535</v>
      </c>
      <c r="N18" s="67">
        <f t="shared" si="18"/>
        <v>0.29704672260657261</v>
      </c>
      <c r="O18" s="67">
        <f t="shared" si="19"/>
        <v>0.30036531908065711</v>
      </c>
      <c r="P18" s="116">
        <f t="shared" si="5"/>
        <v>0.29870602084361486</v>
      </c>
      <c r="Q18" s="67">
        <f t="shared" si="6"/>
        <v>1.1223205813013553</v>
      </c>
      <c r="R18" s="67">
        <f t="shared" si="7"/>
        <v>1.1223205813013553</v>
      </c>
      <c r="S18" s="116">
        <f t="shared" si="8"/>
        <v>1.1223205813013553</v>
      </c>
      <c r="T18" s="113">
        <f>'800-Adj'!L19</f>
        <v>7.6868068245344086</v>
      </c>
      <c r="U18" s="113">
        <f>'800-Adj'!M19</f>
        <v>7.744186692837725</v>
      </c>
      <c r="V18" s="113">
        <f t="shared" si="9"/>
        <v>7.7154967586860668</v>
      </c>
      <c r="W18" s="112">
        <f t="shared" si="20"/>
        <v>0.29761315862575077</v>
      </c>
      <c r="X18" s="112">
        <f t="shared" si="21"/>
        <v>0.29983475781994129</v>
      </c>
      <c r="Y18" s="112">
        <f t="shared" si="22"/>
        <v>0.29872395822284603</v>
      </c>
      <c r="Z18" s="112">
        <f t="shared" si="23"/>
        <v>1.137652351238315</v>
      </c>
      <c r="AA18" s="112">
        <f t="shared" si="24"/>
        <v>1.137652351238315</v>
      </c>
      <c r="AB18" s="112">
        <v>1.137652351238315</v>
      </c>
      <c r="AC18" s="216"/>
      <c r="AD18" s="133">
        <f t="shared" si="11"/>
        <v>1.0148933806183342</v>
      </c>
      <c r="AE18" s="133">
        <f t="shared" si="12"/>
        <v>1.0112227097463053</v>
      </c>
      <c r="AF18" s="133">
        <f t="shared" si="13"/>
        <v>1.0074647209970431</v>
      </c>
    </row>
    <row r="19" spans="1:32" s="87" customFormat="1" ht="15.75" x14ac:dyDescent="0.25">
      <c r="A19" s="134">
        <v>31</v>
      </c>
      <c r="B19" s="110">
        <f>'800-Adj'!C20</f>
        <v>8.1576511944847354</v>
      </c>
      <c r="C19" s="110">
        <f>'800-Adj'!D20</f>
        <v>8.2791461986758037</v>
      </c>
      <c r="D19" s="110">
        <f t="shared" si="2"/>
        <v>8.2183986965802696</v>
      </c>
      <c r="E19" s="111">
        <f t="shared" si="14"/>
        <v>0.32298591800598137</v>
      </c>
      <c r="F19" s="111">
        <f t="shared" si="15"/>
        <v>0.32779627021720509</v>
      </c>
      <c r="G19" s="110">
        <f t="shared" si="3"/>
        <v>0.32539109411159323</v>
      </c>
      <c r="H19" s="111">
        <f t="shared" si="16"/>
        <v>1.1215151129306959</v>
      </c>
      <c r="I19" s="111">
        <f t="shared" si="17"/>
        <v>1.1215151129306959</v>
      </c>
      <c r="J19" s="111">
        <v>1.1215151129306959</v>
      </c>
      <c r="K19" s="64">
        <f t="shared" si="0"/>
        <v>8.0628785869759341</v>
      </c>
      <c r="L19" s="64">
        <f t="shared" si="1"/>
        <v>8.1533659330772643</v>
      </c>
      <c r="M19" s="64">
        <f t="shared" si="4"/>
        <v>8.1081222600265992</v>
      </c>
      <c r="N19" s="67">
        <f t="shared" si="18"/>
        <v>0.32360299396658498</v>
      </c>
      <c r="O19" s="67">
        <f t="shared" si="19"/>
        <v>0.32721827625402039</v>
      </c>
      <c r="P19" s="116">
        <f t="shared" si="5"/>
        <v>0.32541063511030266</v>
      </c>
      <c r="Q19" s="67">
        <f t="shared" si="6"/>
        <v>1.1370480718149718</v>
      </c>
      <c r="R19" s="67">
        <f t="shared" si="7"/>
        <v>1.1370480718149718</v>
      </c>
      <c r="S19" s="116">
        <f t="shared" si="8"/>
        <v>1.1370480718149718</v>
      </c>
      <c r="T19" s="113">
        <f>'800-Adj'!L20</f>
        <v>7.9681059794671345</v>
      </c>
      <c r="U19" s="113">
        <f>'800-Adj'!M20</f>
        <v>8.0275856674787267</v>
      </c>
      <c r="V19" s="113">
        <f t="shared" si="9"/>
        <v>7.9978458234729306</v>
      </c>
      <c r="W19" s="112">
        <f t="shared" si="20"/>
        <v>0.32422006992718866</v>
      </c>
      <c r="X19" s="112">
        <f t="shared" si="21"/>
        <v>0.32664028229083569</v>
      </c>
      <c r="Y19" s="112">
        <f t="shared" si="22"/>
        <v>0.32543017610901215</v>
      </c>
      <c r="Z19" s="112">
        <f t="shared" si="23"/>
        <v>1.1525810306992477</v>
      </c>
      <c r="AA19" s="112">
        <f t="shared" si="24"/>
        <v>1.1525810306992477</v>
      </c>
      <c r="AB19" s="112">
        <v>1.1525810306992477</v>
      </c>
      <c r="AC19" s="216"/>
      <c r="AD19" s="133">
        <f t="shared" si="11"/>
        <v>1.014893380618334</v>
      </c>
      <c r="AE19" s="133">
        <f t="shared" si="12"/>
        <v>1.0112227097463051</v>
      </c>
      <c r="AF19" s="133">
        <f t="shared" si="13"/>
        <v>1.0074647209970431</v>
      </c>
    </row>
    <row r="20" spans="1:32" s="87" customFormat="1" ht="15.75" x14ac:dyDescent="0.25">
      <c r="A20" s="134">
        <v>32</v>
      </c>
      <c r="B20" s="110">
        <f>'800-Adj'!C21</f>
        <v>8.4652135939240498</v>
      </c>
      <c r="C20" s="110">
        <f>'800-Adj'!D21</f>
        <v>8.5912892419938558</v>
      </c>
      <c r="D20" s="110">
        <f t="shared" si="2"/>
        <v>8.5282514179589519</v>
      </c>
      <c r="E20" s="111">
        <f t="shared" si="14"/>
        <v>0.34949154942456689</v>
      </c>
      <c r="F20" s="111">
        <f t="shared" si="15"/>
        <v>0.35469666009303813</v>
      </c>
      <c r="G20" s="110">
        <f t="shared" si="3"/>
        <v>0.35209410475880254</v>
      </c>
      <c r="H20" s="111">
        <f t="shared" si="16"/>
        <v>1.1363272950844747</v>
      </c>
      <c r="I20" s="111">
        <f t="shared" si="17"/>
        <v>1.1363272950844747</v>
      </c>
      <c r="J20" s="111">
        <v>1.1363272950844747</v>
      </c>
      <c r="K20" s="64">
        <f t="shared" si="0"/>
        <v>8.3668678389648861</v>
      </c>
      <c r="L20" s="64">
        <f t="shared" si="1"/>
        <v>8.4607667682072858</v>
      </c>
      <c r="M20" s="64">
        <f t="shared" si="4"/>
        <v>8.4138173035860859</v>
      </c>
      <c r="N20" s="67">
        <f t="shared" si="18"/>
        <v>0.35015926532659525</v>
      </c>
      <c r="O20" s="67">
        <f t="shared" si="19"/>
        <v>0.35407123342738545</v>
      </c>
      <c r="P20" s="116">
        <f t="shared" si="5"/>
        <v>0.35211524937699035</v>
      </c>
      <c r="Q20" s="67">
        <f t="shared" si="6"/>
        <v>1.1520654023557226</v>
      </c>
      <c r="R20" s="67">
        <f t="shared" si="7"/>
        <v>1.1520654023557226</v>
      </c>
      <c r="S20" s="116">
        <f t="shared" si="8"/>
        <v>1.1520654023557226</v>
      </c>
      <c r="T20" s="113">
        <f>'800-Adj'!L21</f>
        <v>8.2685220840057205</v>
      </c>
      <c r="U20" s="113">
        <f>'800-Adj'!M21</f>
        <v>8.330244294420714</v>
      </c>
      <c r="V20" s="113">
        <f t="shared" si="9"/>
        <v>8.2993831892132164</v>
      </c>
      <c r="W20" s="112">
        <f t="shared" si="20"/>
        <v>0.35082698122862366</v>
      </c>
      <c r="X20" s="112">
        <f t="shared" si="21"/>
        <v>0.35344580676173276</v>
      </c>
      <c r="Y20" s="112">
        <f t="shared" si="22"/>
        <v>0.35213639399517821</v>
      </c>
      <c r="Z20" s="112">
        <f t="shared" si="23"/>
        <v>1.1678035096269705</v>
      </c>
      <c r="AA20" s="112">
        <f t="shared" si="24"/>
        <v>1.1678035096269705</v>
      </c>
      <c r="AB20" s="112">
        <v>1.1678035096269705</v>
      </c>
      <c r="AC20" s="216"/>
      <c r="AD20" s="133">
        <f t="shared" si="11"/>
        <v>1.014893380618334</v>
      </c>
      <c r="AE20" s="133">
        <f t="shared" si="12"/>
        <v>1.0112227097463053</v>
      </c>
      <c r="AF20" s="133">
        <f t="shared" si="13"/>
        <v>1.0074647209970433</v>
      </c>
    </row>
    <row r="21" spans="1:32" s="87" customFormat="1" ht="15.75" x14ac:dyDescent="0.25">
      <c r="A21" s="134">
        <v>33</v>
      </c>
      <c r="B21" s="110">
        <f>'800-Adj'!C22</f>
        <v>8.7917546148296495</v>
      </c>
      <c r="C21" s="110">
        <f>'800-Adj'!D22</f>
        <v>8.922693562611304</v>
      </c>
      <c r="D21" s="110">
        <f t="shared" si="2"/>
        <v>8.8572240887204767</v>
      </c>
      <c r="E21" s="111">
        <f t="shared" si="14"/>
        <v>0.37599718084315198</v>
      </c>
      <c r="F21" s="111">
        <f t="shared" si="15"/>
        <v>0.38159704996887195</v>
      </c>
      <c r="G21" s="110">
        <f t="shared" si="3"/>
        <v>0.37879711540601196</v>
      </c>
      <c r="H21" s="111">
        <f t="shared" si="16"/>
        <v>1.151454661960678</v>
      </c>
      <c r="I21" s="111">
        <f t="shared" si="17"/>
        <v>1.151454661960678</v>
      </c>
      <c r="J21" s="111">
        <v>1.151454661960678</v>
      </c>
      <c r="K21" s="64">
        <f t="shared" si="0"/>
        <v>8.6896152257383061</v>
      </c>
      <c r="L21" s="64">
        <f t="shared" si="1"/>
        <v>8.7871362552238423</v>
      </c>
      <c r="M21" s="64">
        <f t="shared" si="4"/>
        <v>8.7383757404810751</v>
      </c>
      <c r="N21" s="67">
        <f t="shared" si="18"/>
        <v>0.37671553668660712</v>
      </c>
      <c r="O21" s="67">
        <f t="shared" si="19"/>
        <v>0.38092419060074922</v>
      </c>
      <c r="P21" s="116">
        <f t="shared" si="5"/>
        <v>0.37881986364367815</v>
      </c>
      <c r="Q21" s="67">
        <f t="shared" si="6"/>
        <v>1.1674022829201554</v>
      </c>
      <c r="R21" s="67">
        <f t="shared" si="7"/>
        <v>1.1674022829201554</v>
      </c>
      <c r="S21" s="116">
        <f t="shared" si="8"/>
        <v>1.1674022829201554</v>
      </c>
      <c r="T21" s="113">
        <f>'800-Adj'!L22</f>
        <v>8.5874758366469628</v>
      </c>
      <c r="U21" s="113">
        <f>'800-Adj'!M22</f>
        <v>8.6515789478363825</v>
      </c>
      <c r="V21" s="113">
        <f t="shared" si="9"/>
        <v>8.6195273922416717</v>
      </c>
      <c r="W21" s="112">
        <f t="shared" si="20"/>
        <v>0.37743389253006226</v>
      </c>
      <c r="X21" s="112">
        <f t="shared" si="21"/>
        <v>0.38025133123262644</v>
      </c>
      <c r="Y21" s="112">
        <f t="shared" si="22"/>
        <v>0.37884261188134438</v>
      </c>
      <c r="Z21" s="112">
        <f t="shared" si="23"/>
        <v>1.1833499038796329</v>
      </c>
      <c r="AA21" s="112">
        <f t="shared" si="24"/>
        <v>1.1833499038796329</v>
      </c>
      <c r="AB21" s="112">
        <v>1.1833499038796329</v>
      </c>
      <c r="AC21" s="216"/>
      <c r="AD21" s="133">
        <f t="shared" si="11"/>
        <v>1.0148933806183342</v>
      </c>
      <c r="AE21" s="133">
        <f t="shared" si="12"/>
        <v>1.0112227097463053</v>
      </c>
      <c r="AF21" s="133">
        <f t="shared" si="13"/>
        <v>1.0074647209970431</v>
      </c>
    </row>
    <row r="22" spans="1:32" s="87" customFormat="1" ht="15.75" x14ac:dyDescent="0.25">
      <c r="A22" s="134">
        <v>34</v>
      </c>
      <c r="B22" s="110">
        <f>'800-Adj'!C23</f>
        <v>9.1366811752807138</v>
      </c>
      <c r="C22" s="110">
        <f>'800-Adj'!D23</f>
        <v>9.2727572456125369</v>
      </c>
      <c r="D22" s="110">
        <f t="shared" si="2"/>
        <v>9.2047192104466262</v>
      </c>
      <c r="E22" s="111">
        <f t="shared" si="14"/>
        <v>0.40250281226174056</v>
      </c>
      <c r="F22" s="111">
        <f t="shared" si="15"/>
        <v>0.40849743984470227</v>
      </c>
      <c r="G22" s="110">
        <f t="shared" si="3"/>
        <v>0.40550012605322139</v>
      </c>
      <c r="H22" s="111">
        <f t="shared" si="16"/>
        <v>1.1669232190625829</v>
      </c>
      <c r="I22" s="111">
        <f t="shared" si="17"/>
        <v>1.1669232190625829</v>
      </c>
      <c r="J22" s="111">
        <v>1.1669232190625829</v>
      </c>
      <c r="K22" s="64">
        <f t="shared" si="0"/>
        <v>9.0305345555841825</v>
      </c>
      <c r="L22" s="64">
        <f t="shared" si="1"/>
        <v>9.1318816237554827</v>
      </c>
      <c r="M22" s="64">
        <f t="shared" si="4"/>
        <v>9.0812080896698326</v>
      </c>
      <c r="N22" s="67">
        <f t="shared" si="18"/>
        <v>0.40327180804662033</v>
      </c>
      <c r="O22" s="67">
        <f t="shared" si="19"/>
        <v>0.4077771477741115</v>
      </c>
      <c r="P22" s="116">
        <f t="shared" si="5"/>
        <v>0.40552447791036594</v>
      </c>
      <c r="Q22" s="67">
        <f t="shared" si="6"/>
        <v>1.1830850791871783</v>
      </c>
      <c r="R22" s="67">
        <f t="shared" si="7"/>
        <v>1.1830850791871783</v>
      </c>
      <c r="S22" s="116">
        <f t="shared" si="8"/>
        <v>1.1830850791871783</v>
      </c>
      <c r="T22" s="113">
        <f>'800-Adj'!L23</f>
        <v>8.9243879358876512</v>
      </c>
      <c r="U22" s="113">
        <f>'800-Adj'!M23</f>
        <v>8.9910060018984286</v>
      </c>
      <c r="V22" s="113">
        <f t="shared" si="9"/>
        <v>8.957696968893039</v>
      </c>
      <c r="W22" s="112">
        <f t="shared" si="20"/>
        <v>0.40404080383150015</v>
      </c>
      <c r="X22" s="112">
        <f t="shared" si="21"/>
        <v>0.40705685570352074</v>
      </c>
      <c r="Y22" s="112">
        <f t="shared" si="22"/>
        <v>0.40554882976751044</v>
      </c>
      <c r="Z22" s="112">
        <f t="shared" si="23"/>
        <v>1.1992469393117737</v>
      </c>
      <c r="AA22" s="112">
        <f t="shared" si="24"/>
        <v>1.1992469393117737</v>
      </c>
      <c r="AB22" s="112">
        <v>1.1992469393117737</v>
      </c>
      <c r="AC22" s="216"/>
      <c r="AD22" s="133">
        <f t="shared" si="11"/>
        <v>1.014893380618334</v>
      </c>
      <c r="AE22" s="133">
        <f t="shared" si="12"/>
        <v>1.0112227097463051</v>
      </c>
      <c r="AF22" s="133">
        <f t="shared" si="13"/>
        <v>1.0074647209970429</v>
      </c>
    </row>
    <row r="23" spans="1:32" s="87" customFormat="1" ht="15.75" x14ac:dyDescent="0.25">
      <c r="A23" s="134">
        <v>35</v>
      </c>
      <c r="B23" s="110">
        <f>'800-Adj'!C24</f>
        <v>9.4994001933564203</v>
      </c>
      <c r="C23" s="110">
        <f>'800-Adj'!D24</f>
        <v>9.6408783760819539</v>
      </c>
      <c r="D23" s="110">
        <f t="shared" si="2"/>
        <v>9.5701392847191862</v>
      </c>
      <c r="E23" s="111">
        <f t="shared" si="14"/>
        <v>0.42900844368032542</v>
      </c>
      <c r="F23" s="111">
        <f t="shared" si="15"/>
        <v>0.43539782972053631</v>
      </c>
      <c r="G23" s="110">
        <f t="shared" si="3"/>
        <v>0.43220313670043087</v>
      </c>
      <c r="H23" s="111">
        <f t="shared" si="16"/>
        <v>1.1827569614526885</v>
      </c>
      <c r="I23" s="111">
        <f t="shared" si="17"/>
        <v>1.1827569614526885</v>
      </c>
      <c r="J23" s="111">
        <v>1.1827569614526885</v>
      </c>
      <c r="K23" s="64">
        <f t="shared" si="0"/>
        <v>9.3890396367904998</v>
      </c>
      <c r="L23" s="64">
        <f t="shared" si="1"/>
        <v>9.494410103430754</v>
      </c>
      <c r="M23" s="64">
        <f t="shared" si="4"/>
        <v>9.441724870110626</v>
      </c>
      <c r="N23" s="67">
        <f t="shared" si="18"/>
        <v>0.42982807940663031</v>
      </c>
      <c r="O23" s="67">
        <f t="shared" si="19"/>
        <v>0.43463010494747706</v>
      </c>
      <c r="P23" s="116">
        <f t="shared" si="5"/>
        <v>0.43222909217705369</v>
      </c>
      <c r="Q23" s="67">
        <f t="shared" si="6"/>
        <v>1.1991381185503633</v>
      </c>
      <c r="R23" s="67">
        <f t="shared" si="7"/>
        <v>1.1991381185503633</v>
      </c>
      <c r="S23" s="116">
        <f t="shared" si="8"/>
        <v>1.1991381185503633</v>
      </c>
      <c r="T23" s="113">
        <f>'800-Adj'!L24</f>
        <v>9.2786790802245775</v>
      </c>
      <c r="U23" s="113">
        <f>'800-Adj'!M24</f>
        <v>9.3479418307795541</v>
      </c>
      <c r="V23" s="113">
        <f t="shared" si="9"/>
        <v>9.3133104555020658</v>
      </c>
      <c r="W23" s="112">
        <f t="shared" si="20"/>
        <v>0.4306477151329352</v>
      </c>
      <c r="X23" s="112">
        <f t="shared" si="21"/>
        <v>0.43386238017441781</v>
      </c>
      <c r="Y23" s="112">
        <f t="shared" si="22"/>
        <v>0.43225504765367651</v>
      </c>
      <c r="Z23" s="112">
        <f t="shared" si="23"/>
        <v>1.2155192756480382</v>
      </c>
      <c r="AA23" s="112">
        <f t="shared" si="24"/>
        <v>1.2155192756480382</v>
      </c>
      <c r="AB23" s="112">
        <v>1.2155192756480382</v>
      </c>
      <c r="AC23" s="216"/>
      <c r="AD23" s="133">
        <f t="shared" si="11"/>
        <v>1.014893380618334</v>
      </c>
      <c r="AE23" s="133">
        <f t="shared" si="12"/>
        <v>1.0112227097463051</v>
      </c>
      <c r="AF23" s="133">
        <f t="shared" si="13"/>
        <v>1.0074647209970431</v>
      </c>
    </row>
    <row r="24" spans="1:32" s="87" customFormat="1" ht="15.75" x14ac:dyDescent="0.25">
      <c r="A24" s="134">
        <v>36</v>
      </c>
      <c r="B24" s="110">
        <f>'800-Adj'!C25</f>
        <v>9.8793185871359483</v>
      </c>
      <c r="C24" s="110">
        <f>'800-Adj'!D25</f>
        <v>10.026455039103947</v>
      </c>
      <c r="D24" s="110">
        <f t="shared" si="2"/>
        <v>9.9528868131199477</v>
      </c>
      <c r="E24" s="111">
        <f t="shared" si="14"/>
        <v>0.45551407509891167</v>
      </c>
      <c r="F24" s="111">
        <f t="shared" si="15"/>
        <v>0.4622982195963688</v>
      </c>
      <c r="G24" s="110">
        <f t="shared" si="3"/>
        <v>0.45890614734764024</v>
      </c>
      <c r="H24" s="111">
        <f t="shared" si="16"/>
        <v>1.1989787347944327</v>
      </c>
      <c r="I24" s="111">
        <f t="shared" si="17"/>
        <v>1.1989787347944327</v>
      </c>
      <c r="J24" s="111">
        <v>1.1989787347944327</v>
      </c>
      <c r="K24" s="64">
        <f t="shared" si="0"/>
        <v>9.7645442776452409</v>
      </c>
      <c r="L24" s="64">
        <f t="shared" si="1"/>
        <v>9.8741289238781995</v>
      </c>
      <c r="M24" s="64">
        <f t="shared" si="4"/>
        <v>9.8193366007617193</v>
      </c>
      <c r="N24" s="67">
        <f t="shared" si="18"/>
        <v>0.4563843507666423</v>
      </c>
      <c r="O24" s="67">
        <f t="shared" si="19"/>
        <v>0.46148306212084056</v>
      </c>
      <c r="P24" s="116">
        <f t="shared" si="5"/>
        <v>0.45893370644374143</v>
      </c>
      <c r="Q24" s="67">
        <f t="shared" si="6"/>
        <v>1.2155845630850723</v>
      </c>
      <c r="R24" s="67">
        <f t="shared" si="7"/>
        <v>1.2155845630850723</v>
      </c>
      <c r="S24" s="116">
        <f t="shared" si="8"/>
        <v>1.2155845630850723</v>
      </c>
      <c r="T24" s="113">
        <f>'800-Adj'!L25</f>
        <v>9.6497699681545335</v>
      </c>
      <c r="U24" s="113">
        <f>'800-Adj'!M25</f>
        <v>9.7218028086524519</v>
      </c>
      <c r="V24" s="113">
        <f t="shared" si="9"/>
        <v>9.6857863884034927</v>
      </c>
      <c r="W24" s="112">
        <f t="shared" si="20"/>
        <v>0.45725462643437287</v>
      </c>
      <c r="X24" s="112">
        <f t="shared" si="21"/>
        <v>0.46066790464531238</v>
      </c>
      <c r="Y24" s="112">
        <f t="shared" si="22"/>
        <v>0.45896126553984262</v>
      </c>
      <c r="Z24" s="112">
        <f t="shared" si="23"/>
        <v>1.232190391375712</v>
      </c>
      <c r="AA24" s="112">
        <f t="shared" si="24"/>
        <v>1.232190391375712</v>
      </c>
      <c r="AB24" s="112">
        <v>1.232190391375712</v>
      </c>
      <c r="AC24" s="216"/>
      <c r="AD24" s="133">
        <f t="shared" si="11"/>
        <v>1.0148933806183342</v>
      </c>
      <c r="AE24" s="133">
        <f t="shared" si="12"/>
        <v>1.0112227097463053</v>
      </c>
      <c r="AF24" s="133">
        <f t="shared" si="13"/>
        <v>1.0074647209970431</v>
      </c>
    </row>
    <row r="25" spans="1:32" s="87" customFormat="1" ht="15.75" x14ac:dyDescent="0.25">
      <c r="A25" s="134">
        <v>37</v>
      </c>
      <c r="B25" s="110">
        <f>'800-Adj'!C26</f>
        <v>10.275843274698477</v>
      </c>
      <c r="C25" s="110">
        <f>'800-Adj'!D26</f>
        <v>10.428885319762911</v>
      </c>
      <c r="D25" s="110">
        <f t="shared" si="2"/>
        <v>10.352364297230693</v>
      </c>
      <c r="E25" s="111">
        <f t="shared" si="14"/>
        <v>0.48201970651749843</v>
      </c>
      <c r="F25" s="111">
        <f t="shared" si="15"/>
        <v>0.4891986094722009</v>
      </c>
      <c r="G25" s="110">
        <f t="shared" si="3"/>
        <v>0.48560915799484966</v>
      </c>
      <c r="H25" s="111">
        <f t="shared" si="16"/>
        <v>1.2156108349281216</v>
      </c>
      <c r="I25" s="111">
        <f t="shared" si="17"/>
        <v>1.2156108349281216</v>
      </c>
      <c r="J25" s="111">
        <v>1.2156108349281216</v>
      </c>
      <c r="K25" s="64">
        <f t="shared" si="0"/>
        <v>10.156462286436394</v>
      </c>
      <c r="L25" s="64">
        <f t="shared" si="1"/>
        <v>10.270445314726366</v>
      </c>
      <c r="M25" s="64">
        <f t="shared" si="4"/>
        <v>10.21345380058138</v>
      </c>
      <c r="N25" s="67">
        <f t="shared" si="18"/>
        <v>0.48294062212665412</v>
      </c>
      <c r="O25" s="67">
        <f t="shared" si="19"/>
        <v>0.48833601929420428</v>
      </c>
      <c r="P25" s="116">
        <f t="shared" si="5"/>
        <v>0.48563832071042923</v>
      </c>
      <c r="Q25" s="67">
        <f t="shared" si="6"/>
        <v>1.2324470174284876</v>
      </c>
      <c r="R25" s="67">
        <f t="shared" si="7"/>
        <v>1.2324470174284876</v>
      </c>
      <c r="S25" s="116">
        <f t="shared" si="8"/>
        <v>1.2324470174284876</v>
      </c>
      <c r="T25" s="113">
        <f>'800-Adj'!L26</f>
        <v>10.037081298174312</v>
      </c>
      <c r="U25" s="113">
        <f>'800-Adj'!M26</f>
        <v>10.112005309689822</v>
      </c>
      <c r="V25" s="113">
        <f t="shared" si="9"/>
        <v>10.074543303932067</v>
      </c>
      <c r="W25" s="112">
        <f t="shared" si="20"/>
        <v>0.48386153773580981</v>
      </c>
      <c r="X25" s="112">
        <f t="shared" si="21"/>
        <v>0.48747342911620767</v>
      </c>
      <c r="Y25" s="112">
        <f t="shared" si="22"/>
        <v>0.48566748342600874</v>
      </c>
      <c r="Z25" s="112">
        <f t="shared" si="23"/>
        <v>1.2492831999288536</v>
      </c>
      <c r="AA25" s="112">
        <f t="shared" si="24"/>
        <v>1.2492831999288536</v>
      </c>
      <c r="AB25" s="112">
        <v>1.2492831999288536</v>
      </c>
      <c r="AC25" s="216"/>
      <c r="AD25" s="133">
        <f t="shared" si="11"/>
        <v>1.014893380618334</v>
      </c>
      <c r="AE25" s="133">
        <f t="shared" si="12"/>
        <v>1.0112227097463053</v>
      </c>
      <c r="AF25" s="133">
        <f t="shared" si="13"/>
        <v>1.0074647209970431</v>
      </c>
    </row>
    <row r="26" spans="1:32" s="87" customFormat="1" ht="15.75" x14ac:dyDescent="0.25">
      <c r="A26" s="134">
        <v>38</v>
      </c>
      <c r="B26" s="110">
        <f>'800-Adj'!C27</f>
        <v>10.688381174123183</v>
      </c>
      <c r="C26" s="110">
        <f>'800-Adj'!D27</f>
        <v>10.847567303143238</v>
      </c>
      <c r="D26" s="110">
        <f t="shared" si="2"/>
        <v>10.767974238633212</v>
      </c>
      <c r="E26" s="111">
        <f t="shared" si="14"/>
        <v>0.50852533793608334</v>
      </c>
      <c r="F26" s="111">
        <f t="shared" si="15"/>
        <v>0.5160989993480346</v>
      </c>
      <c r="G26" s="110">
        <f t="shared" si="3"/>
        <v>0.51231216864205897</v>
      </c>
      <c r="H26" s="111">
        <f t="shared" si="16"/>
        <v>1.2326754430204703</v>
      </c>
      <c r="I26" s="111">
        <f t="shared" si="17"/>
        <v>1.2326754430204703</v>
      </c>
      <c r="J26" s="111">
        <v>1.2326754430204703</v>
      </c>
      <c r="K26" s="64">
        <f t="shared" si="0"/>
        <v>10.564207471451944</v>
      </c>
      <c r="L26" s="64">
        <f t="shared" si="1"/>
        <v>10.6827665056038</v>
      </c>
      <c r="M26" s="64">
        <f t="shared" si="4"/>
        <v>10.623486988527873</v>
      </c>
      <c r="N26" s="67">
        <f t="shared" si="18"/>
        <v>0.5094968934866646</v>
      </c>
      <c r="O26" s="67">
        <f t="shared" si="19"/>
        <v>0.515188976467569</v>
      </c>
      <c r="P26" s="116">
        <f t="shared" si="5"/>
        <v>0.5123429349771168</v>
      </c>
      <c r="Q26" s="67">
        <f t="shared" si="6"/>
        <v>1.2497479699559837</v>
      </c>
      <c r="R26" s="67">
        <f t="shared" si="7"/>
        <v>1.2497479699559837</v>
      </c>
      <c r="S26" s="116">
        <f t="shared" si="8"/>
        <v>1.2497479699559837</v>
      </c>
      <c r="T26" s="113">
        <f>'800-Adj'!L27</f>
        <v>10.440033768780705</v>
      </c>
      <c r="U26" s="113">
        <f>'800-Adj'!M27</f>
        <v>10.517965708064361</v>
      </c>
      <c r="V26" s="113">
        <f t="shared" si="9"/>
        <v>10.478999738422534</v>
      </c>
      <c r="W26" s="112">
        <f t="shared" si="20"/>
        <v>0.51046844903724586</v>
      </c>
      <c r="X26" s="112">
        <f t="shared" si="21"/>
        <v>0.51427895358710352</v>
      </c>
      <c r="Y26" s="112">
        <f t="shared" si="22"/>
        <v>0.51237370131217475</v>
      </c>
      <c r="Z26" s="112">
        <f t="shared" si="23"/>
        <v>1.2668204968914969</v>
      </c>
      <c r="AA26" s="112">
        <f t="shared" si="24"/>
        <v>1.2668204968914969</v>
      </c>
      <c r="AB26" s="112">
        <v>1.2668204968914969</v>
      </c>
      <c r="AC26" s="216"/>
      <c r="AD26" s="133">
        <f t="shared" si="11"/>
        <v>1.0148933806183342</v>
      </c>
      <c r="AE26" s="133">
        <f t="shared" si="12"/>
        <v>1.0112227097463053</v>
      </c>
      <c r="AF26" s="133">
        <f t="shared" si="13"/>
        <v>1.0074647209970431</v>
      </c>
    </row>
    <row r="27" spans="1:32" s="87" customFormat="1" ht="15.75" x14ac:dyDescent="0.25">
      <c r="A27" s="134">
        <v>39</v>
      </c>
      <c r="B27" s="110">
        <f>'800-Adj'!C28</f>
        <v>11.116339203489249</v>
      </c>
      <c r="C27" s="110">
        <f>'800-Adj'!D28</f>
        <v>11.281899074329324</v>
      </c>
      <c r="D27" s="110">
        <f t="shared" si="2"/>
        <v>11.199119138909285</v>
      </c>
      <c r="E27" s="111">
        <f t="shared" si="14"/>
        <v>0.53503096935467098</v>
      </c>
      <c r="F27" s="111">
        <f t="shared" si="15"/>
        <v>0.5429993892238657</v>
      </c>
      <c r="G27" s="110">
        <f t="shared" si="3"/>
        <v>0.53901517928926834</v>
      </c>
      <c r="H27" s="111">
        <f t="shared" si="16"/>
        <v>1.2501949552090723</v>
      </c>
      <c r="I27" s="111">
        <f t="shared" si="17"/>
        <v>1.2501949552090723</v>
      </c>
      <c r="J27" s="111">
        <v>1.2501949552090723</v>
      </c>
      <c r="K27" s="64">
        <f t="shared" si="0"/>
        <v>10.987193640979878</v>
      </c>
      <c r="L27" s="64">
        <f t="shared" si="1"/>
        <v>11.110499726139047</v>
      </c>
      <c r="M27" s="64">
        <f t="shared" si="4"/>
        <v>11.048846683559463</v>
      </c>
      <c r="N27" s="67">
        <f t="shared" si="18"/>
        <v>0.53605316484667731</v>
      </c>
      <c r="O27" s="67">
        <f t="shared" si="19"/>
        <v>0.54204193364093189</v>
      </c>
      <c r="P27" s="116">
        <f t="shared" si="5"/>
        <v>0.5390475492438046</v>
      </c>
      <c r="Q27" s="67">
        <f t="shared" si="6"/>
        <v>1.2675101269911491</v>
      </c>
      <c r="R27" s="67">
        <f t="shared" si="7"/>
        <v>1.2675101269911491</v>
      </c>
      <c r="S27" s="116">
        <f t="shared" si="8"/>
        <v>1.2675101269911491</v>
      </c>
      <c r="T27" s="113">
        <f>'800-Adj'!L28</f>
        <v>10.858048078470507</v>
      </c>
      <c r="U27" s="113">
        <f>'800-Adj'!M28</f>
        <v>10.939100377948769</v>
      </c>
      <c r="V27" s="113">
        <f t="shared" si="9"/>
        <v>10.898574228209638</v>
      </c>
      <c r="W27" s="112">
        <f t="shared" si="20"/>
        <v>0.53707536033868375</v>
      </c>
      <c r="X27" s="112">
        <f t="shared" si="21"/>
        <v>0.54108447805799809</v>
      </c>
      <c r="Y27" s="112">
        <f t="shared" si="22"/>
        <v>0.53907991919834086</v>
      </c>
      <c r="Z27" s="112">
        <f t="shared" si="23"/>
        <v>1.2848252987732258</v>
      </c>
      <c r="AA27" s="112">
        <f t="shared" si="24"/>
        <v>1.2848252987732258</v>
      </c>
      <c r="AB27" s="112">
        <v>1.2848252987732258</v>
      </c>
      <c r="AC27" s="216"/>
      <c r="AD27" s="133">
        <f t="shared" si="11"/>
        <v>1.0148933806183342</v>
      </c>
      <c r="AE27" s="133">
        <f t="shared" si="12"/>
        <v>1.0112227097463053</v>
      </c>
      <c r="AF27" s="133">
        <f t="shared" si="13"/>
        <v>1.0074647209970431</v>
      </c>
    </row>
    <row r="28" spans="1:32" s="87" customFormat="1" ht="15.75" x14ac:dyDescent="0.25">
      <c r="A28" s="134">
        <v>40</v>
      </c>
      <c r="B28" s="110">
        <f>'800-Adj'!C29</f>
        <v>11.559124280875848</v>
      </c>
      <c r="C28" s="110">
        <f>'800-Adj'!D29</f>
        <v>11.73127871840556</v>
      </c>
      <c r="D28" s="110">
        <f t="shared" si="2"/>
        <v>11.645201499640704</v>
      </c>
      <c r="E28" s="111">
        <f t="shared" si="14"/>
        <v>0.56153660077325696</v>
      </c>
      <c r="F28" s="111">
        <f t="shared" si="15"/>
        <v>0.56989977909969869</v>
      </c>
      <c r="G28" s="110">
        <f t="shared" si="3"/>
        <v>0.56571818993647782</v>
      </c>
      <c r="H28" s="111">
        <f t="shared" si="16"/>
        <v>1.2681922437123485</v>
      </c>
      <c r="I28" s="111">
        <f t="shared" si="17"/>
        <v>1.2681922437123485</v>
      </c>
      <c r="J28" s="111">
        <v>1.2681922437123485</v>
      </c>
      <c r="K28" s="64">
        <f t="shared" si="0"/>
        <v>11.424834603308176</v>
      </c>
      <c r="L28" s="64">
        <f t="shared" si="1"/>
        <v>11.553052205960649</v>
      </c>
      <c r="M28" s="64">
        <f t="shared" si="4"/>
        <v>11.488943404634412</v>
      </c>
      <c r="N28" s="67">
        <f t="shared" si="18"/>
        <v>0.5626094362066888</v>
      </c>
      <c r="O28" s="67">
        <f t="shared" si="19"/>
        <v>0.56889489081429589</v>
      </c>
      <c r="P28" s="116">
        <f t="shared" si="5"/>
        <v>0.56575216351049229</v>
      </c>
      <c r="Q28" s="67">
        <f t="shared" si="6"/>
        <v>1.285756677532119</v>
      </c>
      <c r="R28" s="67">
        <f t="shared" si="7"/>
        <v>1.285756677532119</v>
      </c>
      <c r="S28" s="116">
        <f t="shared" si="8"/>
        <v>1.285756677532119</v>
      </c>
      <c r="T28" s="113">
        <f>'800-Adj'!L29</f>
        <v>11.290544925740504</v>
      </c>
      <c r="U28" s="113">
        <f>'800-Adj'!M29</f>
        <v>11.374825693515737</v>
      </c>
      <c r="V28" s="113">
        <f t="shared" si="9"/>
        <v>11.33268530962812</v>
      </c>
      <c r="W28" s="112">
        <f t="shared" si="20"/>
        <v>0.56368227164012064</v>
      </c>
      <c r="X28" s="112">
        <f t="shared" si="21"/>
        <v>0.56789000252889321</v>
      </c>
      <c r="Y28" s="112">
        <f t="shared" si="22"/>
        <v>0.56578613708450698</v>
      </c>
      <c r="Z28" s="112">
        <f t="shared" si="23"/>
        <v>1.3033211113518894</v>
      </c>
      <c r="AA28" s="112">
        <f t="shared" si="24"/>
        <v>1.3033211113518894</v>
      </c>
      <c r="AB28" s="112">
        <v>1.3033211113518894</v>
      </c>
      <c r="AC28" s="216"/>
      <c r="AD28" s="133">
        <f t="shared" si="11"/>
        <v>1.0148933806183342</v>
      </c>
      <c r="AE28" s="133">
        <f t="shared" si="12"/>
        <v>1.0112227097463053</v>
      </c>
      <c r="AF28" s="133">
        <f t="shared" si="13"/>
        <v>1.0074647209970431</v>
      </c>
    </row>
    <row r="29" spans="1:32" s="87" customFormat="1" ht="15.75" x14ac:dyDescent="0.25">
      <c r="A29" s="134">
        <v>41</v>
      </c>
      <c r="B29" s="110">
        <f>'800-Adj'!C30</f>
        <v>12.016143324362163</v>
      </c>
      <c r="C29" s="110">
        <f>'800-Adj'!D30</f>
        <v>12.195104320456345</v>
      </c>
      <c r="D29" s="110">
        <f t="shared" si="2"/>
        <v>12.105623822409253</v>
      </c>
      <c r="E29" s="111">
        <f t="shared" si="14"/>
        <v>0.58274110590812611</v>
      </c>
      <c r="F29" s="111">
        <f t="shared" si="15"/>
        <v>0.59142009100036463</v>
      </c>
      <c r="G29" s="110">
        <f t="shared" si="3"/>
        <v>0.58708059845424532</v>
      </c>
      <c r="H29" s="111">
        <f t="shared" si="16"/>
        <v>1.2750915179874225</v>
      </c>
      <c r="I29" s="111">
        <f t="shared" si="17"/>
        <v>1.2750915179874225</v>
      </c>
      <c r="J29" s="111">
        <v>1.2750915179874225</v>
      </c>
      <c r="K29" s="64">
        <f t="shared" si="0"/>
        <v>11.876544166724829</v>
      </c>
      <c r="L29" s="64">
        <f t="shared" si="1"/>
        <v>12.009831174697158</v>
      </c>
      <c r="M29" s="64">
        <f t="shared" si="4"/>
        <v>11.943187670710994</v>
      </c>
      <c r="N29" s="67">
        <f t="shared" si="18"/>
        <v>0.58385445329469787</v>
      </c>
      <c r="O29" s="67">
        <f t="shared" si="19"/>
        <v>0.59037725655298745</v>
      </c>
      <c r="P29" s="116">
        <f t="shared" si="5"/>
        <v>0.58711585492384266</v>
      </c>
      <c r="Q29" s="67">
        <f t="shared" si="6"/>
        <v>1.2927515065994633</v>
      </c>
      <c r="R29" s="67">
        <f t="shared" si="7"/>
        <v>1.2927515065994633</v>
      </c>
      <c r="S29" s="116">
        <f t="shared" si="8"/>
        <v>1.2927515065994633</v>
      </c>
      <c r="T29" s="113">
        <f>'800-Adj'!L30</f>
        <v>11.736945009087494</v>
      </c>
      <c r="U29" s="113">
        <f>'800-Adj'!M30</f>
        <v>11.82455802893797</v>
      </c>
      <c r="V29" s="113">
        <f t="shared" si="9"/>
        <v>11.780751519012732</v>
      </c>
      <c r="W29" s="112">
        <f t="shared" si="20"/>
        <v>0.58496780068126963</v>
      </c>
      <c r="X29" s="112">
        <f t="shared" si="21"/>
        <v>0.58933442210561016</v>
      </c>
      <c r="Y29" s="112">
        <f t="shared" si="22"/>
        <v>0.5871511113934399</v>
      </c>
      <c r="Z29" s="112">
        <f t="shared" si="23"/>
        <v>1.310411495211504</v>
      </c>
      <c r="AA29" s="112">
        <f t="shared" si="24"/>
        <v>1.310411495211504</v>
      </c>
      <c r="AB29" s="112">
        <v>1.310411495211504</v>
      </c>
      <c r="AC29" s="216"/>
      <c r="AD29" s="133">
        <f t="shared" si="11"/>
        <v>1.0148933806183342</v>
      </c>
      <c r="AE29" s="133">
        <f t="shared" si="12"/>
        <v>1.0112227097463053</v>
      </c>
      <c r="AF29" s="133">
        <f t="shared" si="13"/>
        <v>1.0074647209970431</v>
      </c>
    </row>
    <row r="30" spans="1:32" s="87" customFormat="1" ht="15.75" x14ac:dyDescent="0.25">
      <c r="A30" s="134">
        <v>42</v>
      </c>
      <c r="B30" s="110">
        <f>'800-Adj'!C31</f>
        <v>12.486803252027372</v>
      </c>
      <c r="C30" s="110">
        <f>'800-Adj'!D31</f>
        <v>12.672773965566067</v>
      </c>
      <c r="D30" s="110">
        <f t="shared" si="2"/>
        <v>12.579788608796719</v>
      </c>
      <c r="E30" s="111">
        <f t="shared" si="14"/>
        <v>0.60394561104299571</v>
      </c>
      <c r="F30" s="111">
        <f t="shared" si="15"/>
        <v>0.61294040290103013</v>
      </c>
      <c r="G30" s="110">
        <f t="shared" si="3"/>
        <v>0.60844300697201292</v>
      </c>
      <c r="H30" s="111">
        <f t="shared" si="16"/>
        <v>1.2831889343946803</v>
      </c>
      <c r="I30" s="111">
        <f t="shared" si="17"/>
        <v>1.2831889343946803</v>
      </c>
      <c r="J30" s="111">
        <v>1.2831889343946803</v>
      </c>
      <c r="K30" s="64">
        <f t="shared" si="0"/>
        <v>12.341736139517819</v>
      </c>
      <c r="L30" s="64">
        <f t="shared" si="1"/>
        <v>12.480243861977113</v>
      </c>
      <c r="M30" s="64">
        <f t="shared" si="4"/>
        <v>12.410990000747466</v>
      </c>
      <c r="N30" s="67">
        <f t="shared" si="18"/>
        <v>0.60509947038270784</v>
      </c>
      <c r="O30" s="67">
        <f t="shared" si="19"/>
        <v>0.61185962229167778</v>
      </c>
      <c r="P30" s="116">
        <f t="shared" si="5"/>
        <v>0.60847954633719281</v>
      </c>
      <c r="Q30" s="67">
        <f t="shared" si="6"/>
        <v>1.3009610720403577</v>
      </c>
      <c r="R30" s="67">
        <f t="shared" si="7"/>
        <v>1.3009610720403577</v>
      </c>
      <c r="S30" s="116">
        <f t="shared" si="8"/>
        <v>1.3009610720403577</v>
      </c>
      <c r="T30" s="113">
        <f>'800-Adj'!L31</f>
        <v>12.196669027008266</v>
      </c>
      <c r="U30" s="113">
        <f>'800-Adj'!M31</f>
        <v>12.287713758388159</v>
      </c>
      <c r="V30" s="113">
        <f t="shared" si="9"/>
        <v>12.242191392698214</v>
      </c>
      <c r="W30" s="112">
        <f t="shared" si="20"/>
        <v>0.60625332972241996</v>
      </c>
      <c r="X30" s="112">
        <f t="shared" si="21"/>
        <v>0.61077884168232544</v>
      </c>
      <c r="Y30" s="112">
        <f t="shared" si="22"/>
        <v>0.6085160857023727</v>
      </c>
      <c r="Z30" s="112">
        <f t="shared" si="23"/>
        <v>1.3187332096860351</v>
      </c>
      <c r="AA30" s="112">
        <f t="shared" si="24"/>
        <v>1.3187332096860351</v>
      </c>
      <c r="AB30" s="112">
        <v>1.3187332096860351</v>
      </c>
      <c r="AC30" s="216"/>
      <c r="AD30" s="133">
        <f t="shared" si="11"/>
        <v>1.014893380618334</v>
      </c>
      <c r="AE30" s="133">
        <f t="shared" si="12"/>
        <v>1.0112227097463053</v>
      </c>
      <c r="AF30" s="133">
        <f t="shared" si="13"/>
        <v>1.0074647209970431</v>
      </c>
    </row>
    <row r="31" spans="1:32" s="87" customFormat="1" ht="15.75" x14ac:dyDescent="0.25">
      <c r="A31" s="134">
        <v>43</v>
      </c>
      <c r="B31" s="110">
        <f>'800-Adj'!C32</f>
        <v>12.968002044939348</v>
      </c>
      <c r="C31" s="110">
        <f>'800-Adj'!D32</f>
        <v>13.161139435253967</v>
      </c>
      <c r="D31" s="110">
        <f t="shared" si="2"/>
        <v>13.064570740096658</v>
      </c>
      <c r="E31" s="111">
        <f t="shared" si="14"/>
        <v>0.6251501161778632</v>
      </c>
      <c r="F31" s="111">
        <f t="shared" si="15"/>
        <v>0.63446071480169752</v>
      </c>
      <c r="G31" s="110">
        <f t="shared" si="3"/>
        <v>0.62980541548978031</v>
      </c>
      <c r="H31" s="111">
        <f t="shared" si="16"/>
        <v>1.2991514637739718</v>
      </c>
      <c r="I31" s="111">
        <f t="shared" si="17"/>
        <v>1.2991514637739718</v>
      </c>
      <c r="J31" s="111">
        <v>1.2991514637739718</v>
      </c>
      <c r="K31" s="64">
        <f t="shared" si="0"/>
        <v>12.81734454087626</v>
      </c>
      <c r="L31" s="64">
        <f t="shared" si="1"/>
        <v>12.961189878376903</v>
      </c>
      <c r="M31" s="64">
        <f t="shared" si="4"/>
        <v>12.889267209626581</v>
      </c>
      <c r="N31" s="67">
        <f t="shared" si="18"/>
        <v>0.62634448747071647</v>
      </c>
      <c r="O31" s="67">
        <f t="shared" si="19"/>
        <v>0.63334198803036945</v>
      </c>
      <c r="P31" s="116">
        <f t="shared" si="5"/>
        <v>0.62984323775054296</v>
      </c>
      <c r="Q31" s="67">
        <f t="shared" si="6"/>
        <v>1.3171446820896078</v>
      </c>
      <c r="R31" s="67">
        <f t="shared" si="7"/>
        <v>1.3171446820896078</v>
      </c>
      <c r="S31" s="116">
        <f t="shared" si="8"/>
        <v>1.3171446820896078</v>
      </c>
      <c r="T31" s="113">
        <f>'800-Adj'!L32</f>
        <v>12.666687036813169</v>
      </c>
      <c r="U31" s="113">
        <f>'800-Adj'!M32</f>
        <v>12.761240321499841</v>
      </c>
      <c r="V31" s="113">
        <f t="shared" si="9"/>
        <v>12.713963679156505</v>
      </c>
      <c r="W31" s="112">
        <f t="shared" si="20"/>
        <v>0.62753885876356963</v>
      </c>
      <c r="X31" s="112">
        <f t="shared" si="21"/>
        <v>0.63222326125904138</v>
      </c>
      <c r="Y31" s="112">
        <f t="shared" si="22"/>
        <v>0.6298810600113055</v>
      </c>
      <c r="Z31" s="112">
        <f t="shared" si="23"/>
        <v>1.3351379004052437</v>
      </c>
      <c r="AA31" s="112">
        <f t="shared" si="24"/>
        <v>1.3351379004052437</v>
      </c>
      <c r="AB31" s="112">
        <v>1.3351379004052437</v>
      </c>
      <c r="AC31" s="216"/>
      <c r="AD31" s="133">
        <f t="shared" si="11"/>
        <v>1.0148933806183342</v>
      </c>
      <c r="AE31" s="133">
        <f t="shared" si="12"/>
        <v>1.0112227097463051</v>
      </c>
      <c r="AF31" s="133">
        <f t="shared" si="13"/>
        <v>1.0074647209970431</v>
      </c>
    </row>
    <row r="32" spans="1:32" s="87" customFormat="1" ht="15.75" x14ac:dyDescent="0.25">
      <c r="A32" s="134">
        <v>44</v>
      </c>
      <c r="B32" s="110">
        <f>'800-Adj'!C33</f>
        <v>13.459975685968448</v>
      </c>
      <c r="C32" s="110">
        <f>'800-Adj'!D33</f>
        <v>13.660440226973101</v>
      </c>
      <c r="D32" s="110">
        <f t="shared" si="2"/>
        <v>13.560207956470775</v>
      </c>
      <c r="E32" s="111">
        <f t="shared" si="14"/>
        <v>0.64635462131273258</v>
      </c>
      <c r="F32" s="111">
        <f t="shared" si="15"/>
        <v>0.65598102670236325</v>
      </c>
      <c r="G32" s="110">
        <f t="shared" si="3"/>
        <v>0.65116782400754791</v>
      </c>
      <c r="H32" s="111">
        <f t="shared" si="16"/>
        <v>1.3137992920935804</v>
      </c>
      <c r="I32" s="111">
        <f t="shared" si="17"/>
        <v>1.3137992920935804</v>
      </c>
      <c r="J32" s="111">
        <v>1.3137992920935804</v>
      </c>
      <c r="K32" s="64">
        <f t="shared" si="0"/>
        <v>13.303602612107834</v>
      </c>
      <c r="L32" s="64">
        <f t="shared" si="1"/>
        <v>13.45290508280371</v>
      </c>
      <c r="M32" s="64">
        <f t="shared" si="4"/>
        <v>13.378253847455772</v>
      </c>
      <c r="N32" s="67">
        <f t="shared" si="18"/>
        <v>0.64758950455872566</v>
      </c>
      <c r="O32" s="67">
        <f t="shared" si="19"/>
        <v>0.65482435376906079</v>
      </c>
      <c r="P32" s="116">
        <f t="shared" si="5"/>
        <v>0.65120692916389322</v>
      </c>
      <c r="Q32" s="67">
        <f t="shared" si="6"/>
        <v>1.3319953824993123</v>
      </c>
      <c r="R32" s="67">
        <f t="shared" si="7"/>
        <v>1.3319953824993123</v>
      </c>
      <c r="S32" s="116">
        <f t="shared" si="8"/>
        <v>1.3319953824993123</v>
      </c>
      <c r="T32" s="113">
        <f>'800-Adj'!L33</f>
        <v>13.147229538247222</v>
      </c>
      <c r="U32" s="113">
        <f>'800-Adj'!M33</f>
        <v>13.245369938634321</v>
      </c>
      <c r="V32" s="113">
        <f t="shared" si="9"/>
        <v>13.196299738440771</v>
      </c>
      <c r="W32" s="112">
        <f t="shared" si="20"/>
        <v>0.64882438780471863</v>
      </c>
      <c r="X32" s="112">
        <f t="shared" si="21"/>
        <v>0.65366768083575832</v>
      </c>
      <c r="Y32" s="112">
        <f t="shared" si="22"/>
        <v>0.65124603432023842</v>
      </c>
      <c r="Z32" s="112">
        <f t="shared" si="23"/>
        <v>1.3501914729050442</v>
      </c>
      <c r="AA32" s="112">
        <f t="shared" si="24"/>
        <v>1.3501914729050442</v>
      </c>
      <c r="AB32" s="112">
        <v>1.3501914729050442</v>
      </c>
      <c r="AC32" s="216"/>
      <c r="AD32" s="133">
        <f t="shared" si="11"/>
        <v>1.0148933806183342</v>
      </c>
      <c r="AE32" s="133">
        <f t="shared" si="12"/>
        <v>1.0112227097463053</v>
      </c>
      <c r="AF32" s="133">
        <f t="shared" si="13"/>
        <v>1.0074647209970431</v>
      </c>
    </row>
    <row r="33" spans="1:32" s="87" customFormat="1" ht="15.75" x14ac:dyDescent="0.25">
      <c r="A33" s="134">
        <v>45</v>
      </c>
      <c r="B33" s="110">
        <f>'800-Adj'!C34</f>
        <v>13.962965442037319</v>
      </c>
      <c r="C33" s="110">
        <f>'800-Adj'!D34</f>
        <v>14.170921200926228</v>
      </c>
      <c r="D33" s="110">
        <f t="shared" si="2"/>
        <v>14.066943321481773</v>
      </c>
      <c r="E33" s="111">
        <f t="shared" si="14"/>
        <v>0.6675591264476024</v>
      </c>
      <c r="F33" s="111">
        <f t="shared" si="15"/>
        <v>0.67750133860302864</v>
      </c>
      <c r="G33" s="110">
        <f t="shared" si="3"/>
        <v>0.67253023252531552</v>
      </c>
      <c r="H33" s="111">
        <f t="shared" si="16"/>
        <v>1.3271823499248323</v>
      </c>
      <c r="I33" s="111">
        <f t="shared" si="17"/>
        <v>1.3271823499248323</v>
      </c>
      <c r="J33" s="111">
        <v>1.3271823499248323</v>
      </c>
      <c r="K33" s="64">
        <f t="shared" si="0"/>
        <v>13.800748817184346</v>
      </c>
      <c r="L33" s="64">
        <f t="shared" si="1"/>
        <v>13.955630615441272</v>
      </c>
      <c r="M33" s="64">
        <f t="shared" si="4"/>
        <v>13.878189716312809</v>
      </c>
      <c r="N33" s="67">
        <f t="shared" si="18"/>
        <v>0.66883452164673551</v>
      </c>
      <c r="O33" s="67">
        <f t="shared" si="19"/>
        <v>0.67630671950775123</v>
      </c>
      <c r="P33" s="116">
        <f t="shared" si="5"/>
        <v>0.67257062057724337</v>
      </c>
      <c r="Q33" s="67">
        <f t="shared" si="6"/>
        <v>1.3455637953780726</v>
      </c>
      <c r="R33" s="67">
        <f t="shared" si="7"/>
        <v>1.3455637953780726</v>
      </c>
      <c r="S33" s="116">
        <f t="shared" si="8"/>
        <v>1.3455637953780726</v>
      </c>
      <c r="T33" s="113">
        <f>'800-Adj'!L34</f>
        <v>13.638532192331372</v>
      </c>
      <c r="U33" s="113">
        <f>'800-Adj'!M34</f>
        <v>13.740340029956315</v>
      </c>
      <c r="V33" s="113">
        <f t="shared" si="9"/>
        <v>13.689436111143843</v>
      </c>
      <c r="W33" s="112">
        <f t="shared" si="20"/>
        <v>0.67010991684586863</v>
      </c>
      <c r="X33" s="112">
        <f t="shared" si="21"/>
        <v>0.67511210041247383</v>
      </c>
      <c r="Y33" s="112">
        <f t="shared" si="22"/>
        <v>0.67261100862917123</v>
      </c>
      <c r="Z33" s="112">
        <f t="shared" si="23"/>
        <v>1.3639452408313129</v>
      </c>
      <c r="AA33" s="112">
        <f t="shared" si="24"/>
        <v>1.3639452408313129</v>
      </c>
      <c r="AB33" s="112">
        <v>1.3639452408313129</v>
      </c>
      <c r="AC33" s="216"/>
      <c r="AD33" s="133">
        <f t="shared" si="11"/>
        <v>1.0148933806183342</v>
      </c>
      <c r="AE33" s="133">
        <f t="shared" si="12"/>
        <v>1.0112227097463053</v>
      </c>
      <c r="AF33" s="133">
        <f t="shared" si="13"/>
        <v>1.0074647209970431</v>
      </c>
    </row>
    <row r="34" spans="1:32" s="87" customFormat="1" ht="15.75" x14ac:dyDescent="0.25">
      <c r="A34" s="134">
        <v>46</v>
      </c>
      <c r="B34" s="110">
        <f>'800-Adj'!C35</f>
        <v>14.477217982439692</v>
      </c>
      <c r="C34" s="110">
        <f>'800-Adj'!D35</f>
        <v>14.692832700146758</v>
      </c>
      <c r="D34" s="110">
        <f t="shared" si="2"/>
        <v>14.585025341293225</v>
      </c>
      <c r="E34" s="111">
        <f t="shared" si="14"/>
        <v>0.688763631582472</v>
      </c>
      <c r="F34" s="111">
        <f t="shared" si="15"/>
        <v>0.69902165050369425</v>
      </c>
      <c r="G34" s="110">
        <f t="shared" si="3"/>
        <v>0.69389264104308312</v>
      </c>
      <c r="H34" s="111">
        <f t="shared" si="16"/>
        <v>1.3393490113700843</v>
      </c>
      <c r="I34" s="111">
        <f t="shared" si="17"/>
        <v>1.3393490113700843</v>
      </c>
      <c r="J34" s="111">
        <v>1.3393490113700843</v>
      </c>
      <c r="K34" s="64">
        <f t="shared" si="0"/>
        <v>14.309026959685896</v>
      </c>
      <c r="L34" s="64">
        <f t="shared" si="1"/>
        <v>14.469613016006509</v>
      </c>
      <c r="M34" s="64">
        <f t="shared" si="4"/>
        <v>14.389319987846203</v>
      </c>
      <c r="N34" s="67">
        <f t="shared" si="18"/>
        <v>0.69007953873474415</v>
      </c>
      <c r="O34" s="67">
        <f t="shared" si="19"/>
        <v>0.69778908524644312</v>
      </c>
      <c r="P34" s="116">
        <f t="shared" si="5"/>
        <v>0.69393431199059363</v>
      </c>
      <c r="Q34" s="67">
        <f t="shared" si="6"/>
        <v>1.3578989648084678</v>
      </c>
      <c r="R34" s="67">
        <f t="shared" si="7"/>
        <v>1.3578989648084678</v>
      </c>
      <c r="S34" s="116">
        <f t="shared" si="8"/>
        <v>1.3578989648084678</v>
      </c>
      <c r="T34" s="113">
        <f>'800-Adj'!L35</f>
        <v>14.140835936932101</v>
      </c>
      <c r="U34" s="113">
        <f>'800-Adj'!M35</f>
        <v>14.24639333186626</v>
      </c>
      <c r="V34" s="113">
        <f t="shared" si="9"/>
        <v>14.19361463439918</v>
      </c>
      <c r="W34" s="112">
        <f t="shared" si="20"/>
        <v>0.69139544588701629</v>
      </c>
      <c r="X34" s="112">
        <f t="shared" si="21"/>
        <v>0.69655651998919199</v>
      </c>
      <c r="Y34" s="112">
        <f t="shared" si="22"/>
        <v>0.69397598293810414</v>
      </c>
      <c r="Z34" s="112">
        <f t="shared" si="23"/>
        <v>1.3764489182468516</v>
      </c>
      <c r="AA34" s="112">
        <f t="shared" si="24"/>
        <v>1.3764489182468516</v>
      </c>
      <c r="AB34" s="112">
        <v>1.3764489182468516</v>
      </c>
      <c r="AC34" s="216"/>
      <c r="AD34" s="133">
        <f t="shared" si="11"/>
        <v>1.0148933806183342</v>
      </c>
      <c r="AE34" s="133">
        <f t="shared" si="12"/>
        <v>1.0112227097463053</v>
      </c>
      <c r="AF34" s="133">
        <f t="shared" si="13"/>
        <v>1.0074647209970431</v>
      </c>
    </row>
    <row r="35" spans="1:32" s="87" customFormat="1" ht="15.75" x14ac:dyDescent="0.25">
      <c r="A35" s="134">
        <v>47</v>
      </c>
      <c r="B35" s="110">
        <f>'800-Adj'!C36</f>
        <v>15.002985499808545</v>
      </c>
      <c r="C35" s="110">
        <f>'800-Adj'!D36</f>
        <v>15.226430673268542</v>
      </c>
      <c r="D35" s="110">
        <f t="shared" si="2"/>
        <v>15.114708086538544</v>
      </c>
      <c r="E35" s="111">
        <f t="shared" si="14"/>
        <v>0.71314881248757067</v>
      </c>
      <c r="F35" s="111">
        <f t="shared" si="15"/>
        <v>0.72377000918946077</v>
      </c>
      <c r="G35" s="110">
        <f t="shared" si="3"/>
        <v>0.71845941083851572</v>
      </c>
      <c r="H35" s="111">
        <f t="shared" si="16"/>
        <v>1.3563957242099063</v>
      </c>
      <c r="I35" s="111">
        <f t="shared" si="17"/>
        <v>1.3563957242099063</v>
      </c>
      <c r="J35" s="111">
        <v>1.3563957242099063</v>
      </c>
      <c r="K35" s="64">
        <f t="shared" si="0"/>
        <v>14.82868630236371</v>
      </c>
      <c r="L35" s="64">
        <f t="shared" si="1"/>
        <v>14.995104344654152</v>
      </c>
      <c r="M35" s="64">
        <f t="shared" si="4"/>
        <v>14.911895323508931</v>
      </c>
      <c r="N35" s="67">
        <f t="shared" si="18"/>
        <v>0.71451130838595511</v>
      </c>
      <c r="O35" s="67">
        <f t="shared" si="19"/>
        <v>0.72249380584593759</v>
      </c>
      <c r="P35" s="116">
        <f t="shared" si="5"/>
        <v>0.71850255711594635</v>
      </c>
      <c r="Q35" s="67">
        <f t="shared" si="6"/>
        <v>1.3751817742345942</v>
      </c>
      <c r="R35" s="67">
        <f t="shared" si="7"/>
        <v>1.3751817742345942</v>
      </c>
      <c r="S35" s="116">
        <f t="shared" si="8"/>
        <v>1.3751817742345942</v>
      </c>
      <c r="T35" s="113">
        <f>'800-Adj'!L36</f>
        <v>14.654387104918877</v>
      </c>
      <c r="U35" s="113">
        <f>'800-Adj'!M36</f>
        <v>14.763778016039764</v>
      </c>
      <c r="V35" s="113">
        <f t="shared" si="9"/>
        <v>14.70908256047932</v>
      </c>
      <c r="W35" s="112">
        <f t="shared" si="20"/>
        <v>0.71587380428433944</v>
      </c>
      <c r="X35" s="112">
        <f t="shared" si="21"/>
        <v>0.72121760250241451</v>
      </c>
      <c r="Y35" s="112">
        <f t="shared" si="22"/>
        <v>0.71854570339337698</v>
      </c>
      <c r="Z35" s="112">
        <f t="shared" si="23"/>
        <v>1.3939678242592821</v>
      </c>
      <c r="AA35" s="112">
        <f t="shared" si="24"/>
        <v>1.3939678242592821</v>
      </c>
      <c r="AB35" s="112">
        <v>1.3939678242592821</v>
      </c>
      <c r="AC35" s="216"/>
      <c r="AD35" s="133">
        <f t="shared" si="11"/>
        <v>1.0148933806183342</v>
      </c>
      <c r="AE35" s="133">
        <f t="shared" si="12"/>
        <v>1.0112227097463053</v>
      </c>
      <c r="AF35" s="133">
        <f t="shared" si="13"/>
        <v>1.0074647209970431</v>
      </c>
    </row>
    <row r="36" spans="1:32" s="87" customFormat="1" ht="15.75" x14ac:dyDescent="0.25">
      <c r="A36" s="134">
        <v>48</v>
      </c>
      <c r="B36" s="110">
        <f>'800-Adj'!C37</f>
        <v>15.540525833792927</v>
      </c>
      <c r="C36" s="110">
        <f>'800-Adj'!D37</f>
        <v>15.771976800044659</v>
      </c>
      <c r="D36" s="110">
        <f t="shared" si="2"/>
        <v>15.656251316918793</v>
      </c>
      <c r="E36" s="111">
        <f t="shared" si="14"/>
        <v>0.73753399339267023</v>
      </c>
      <c r="F36" s="111">
        <f t="shared" si="15"/>
        <v>0.7485183678752263</v>
      </c>
      <c r="G36" s="110">
        <f t="shared" si="3"/>
        <v>0.74302618063394821</v>
      </c>
      <c r="H36" s="111">
        <f t="shared" si="16"/>
        <v>1.3720533079367023</v>
      </c>
      <c r="I36" s="111">
        <f t="shared" si="17"/>
        <v>1.3720533079367023</v>
      </c>
      <c r="J36" s="111">
        <v>1.3720533079367023</v>
      </c>
      <c r="K36" s="64">
        <f t="shared" si="0"/>
        <v>15.35998168938011</v>
      </c>
      <c r="L36" s="64">
        <f t="shared" si="1"/>
        <v>15.532362305588588</v>
      </c>
      <c r="M36" s="64">
        <f t="shared" si="4"/>
        <v>15.446171997484349</v>
      </c>
      <c r="N36" s="67">
        <f t="shared" si="18"/>
        <v>0.73894307803716641</v>
      </c>
      <c r="O36" s="67">
        <f t="shared" si="19"/>
        <v>0.74719852644543172</v>
      </c>
      <c r="P36" s="116">
        <f t="shared" si="5"/>
        <v>0.74307080224129907</v>
      </c>
      <c r="Q36" s="67">
        <f t="shared" si="6"/>
        <v>1.3910562151409795</v>
      </c>
      <c r="R36" s="67">
        <f t="shared" si="7"/>
        <v>1.3910562151409795</v>
      </c>
      <c r="S36" s="116">
        <f t="shared" si="8"/>
        <v>1.3910562151409795</v>
      </c>
      <c r="T36" s="113">
        <f>'800-Adj'!L37</f>
        <v>15.179437544967294</v>
      </c>
      <c r="U36" s="113">
        <f>'800-Adj'!M37</f>
        <v>15.292747811132516</v>
      </c>
      <c r="V36" s="113">
        <f t="shared" si="9"/>
        <v>15.236092678049905</v>
      </c>
      <c r="W36" s="112">
        <f t="shared" si="20"/>
        <v>0.7403521626816626</v>
      </c>
      <c r="X36" s="112">
        <f t="shared" si="21"/>
        <v>0.74587868501563703</v>
      </c>
      <c r="Y36" s="112">
        <f t="shared" si="22"/>
        <v>0.74311542384864981</v>
      </c>
      <c r="Z36" s="112">
        <f t="shared" si="23"/>
        <v>1.410059122345257</v>
      </c>
      <c r="AA36" s="112">
        <f t="shared" si="24"/>
        <v>1.410059122345257</v>
      </c>
      <c r="AB36" s="112">
        <v>1.410059122345257</v>
      </c>
      <c r="AC36" s="216"/>
      <c r="AD36" s="133">
        <f t="shared" si="11"/>
        <v>1.014893380618334</v>
      </c>
      <c r="AE36" s="133">
        <f t="shared" si="12"/>
        <v>1.0112227097463053</v>
      </c>
      <c r="AF36" s="133">
        <f t="shared" si="13"/>
        <v>1.0074647209970431</v>
      </c>
    </row>
    <row r="37" spans="1:32" s="87" customFormat="1" ht="15.75" x14ac:dyDescent="0.25">
      <c r="A37" s="134">
        <v>49</v>
      </c>
      <c r="B37" s="110">
        <f>'800-Adj'!C38</f>
        <v>16.09010259750411</v>
      </c>
      <c r="C37" s="110">
        <f>'800-Adj'!D38</f>
        <v>16.329738619676785</v>
      </c>
      <c r="D37" s="110">
        <f t="shared" si="2"/>
        <v>16.209920608590448</v>
      </c>
      <c r="E37" s="111">
        <f t="shared" si="14"/>
        <v>0.76191917429776879</v>
      </c>
      <c r="F37" s="111">
        <f t="shared" si="15"/>
        <v>0.77326672656099316</v>
      </c>
      <c r="G37" s="110">
        <f t="shared" si="3"/>
        <v>0.76759295042938103</v>
      </c>
      <c r="H37" s="111">
        <f t="shared" si="16"/>
        <v>1.3863744332141688</v>
      </c>
      <c r="I37" s="111">
        <f t="shared" si="17"/>
        <v>1.3863744332141688</v>
      </c>
      <c r="J37" s="111">
        <v>1.3863744332141688</v>
      </c>
      <c r="K37" s="64">
        <f t="shared" si="0"/>
        <v>15.903173671285673</v>
      </c>
      <c r="L37" s="64">
        <f t="shared" si="1"/>
        <v>16.081650373443594</v>
      </c>
      <c r="M37" s="64">
        <f t="shared" si="4"/>
        <v>15.992412022364633</v>
      </c>
      <c r="N37" s="67">
        <f t="shared" si="18"/>
        <v>0.76337484768837671</v>
      </c>
      <c r="O37" s="67">
        <f t="shared" si="19"/>
        <v>0.77190324704492685</v>
      </c>
      <c r="P37" s="116">
        <f t="shared" si="5"/>
        <v>0.76763904736665178</v>
      </c>
      <c r="Q37" s="67">
        <f t="shared" si="6"/>
        <v>1.4055756876788119</v>
      </c>
      <c r="R37" s="67">
        <f t="shared" si="7"/>
        <v>1.4055756876788119</v>
      </c>
      <c r="S37" s="116">
        <f t="shared" si="8"/>
        <v>1.4055756876788119</v>
      </c>
      <c r="T37" s="113">
        <f>'800-Adj'!L38</f>
        <v>15.716244745067236</v>
      </c>
      <c r="U37" s="113">
        <f>'800-Adj'!M38</f>
        <v>15.833562127210406</v>
      </c>
      <c r="V37" s="113">
        <f t="shared" si="9"/>
        <v>15.774903436138821</v>
      </c>
      <c r="W37" s="112">
        <f t="shared" si="20"/>
        <v>0.76483052107898464</v>
      </c>
      <c r="X37" s="112">
        <f t="shared" si="21"/>
        <v>0.77053976752886055</v>
      </c>
      <c r="Y37" s="112">
        <f t="shared" si="22"/>
        <v>0.76768514430392254</v>
      </c>
      <c r="Z37" s="112">
        <f t="shared" si="23"/>
        <v>1.4247769421434553</v>
      </c>
      <c r="AA37" s="112">
        <f t="shared" si="24"/>
        <v>1.4247769421434553</v>
      </c>
      <c r="AB37" s="112">
        <v>1.4247769421434553</v>
      </c>
      <c r="AC37" s="216"/>
      <c r="AD37" s="133">
        <f t="shared" si="11"/>
        <v>1.0148933806183342</v>
      </c>
      <c r="AE37" s="133">
        <f t="shared" si="12"/>
        <v>1.0112227097463051</v>
      </c>
      <c r="AF37" s="133">
        <f t="shared" si="13"/>
        <v>1.0074647209970431</v>
      </c>
    </row>
    <row r="38" spans="1:32" s="87" customFormat="1" ht="15.75" x14ac:dyDescent="0.25">
      <c r="A38" s="134">
        <v>50</v>
      </c>
      <c r="B38" s="110">
        <f>'800-Adj'!C39</f>
        <v>16.651985306793115</v>
      </c>
      <c r="C38" s="110">
        <f>'800-Adj'!D39</f>
        <v>16.899989662018093</v>
      </c>
      <c r="D38" s="110">
        <f t="shared" si="2"/>
        <v>16.775987484405604</v>
      </c>
      <c r="E38" s="111">
        <f t="shared" si="14"/>
        <v>0.78630435520286779</v>
      </c>
      <c r="F38" s="111">
        <f t="shared" si="15"/>
        <v>0.79801508524675946</v>
      </c>
      <c r="G38" s="110">
        <f t="shared" si="3"/>
        <v>0.79215972022481362</v>
      </c>
      <c r="H38" s="111">
        <f t="shared" si="16"/>
        <v>1.3994101299145534</v>
      </c>
      <c r="I38" s="111">
        <f t="shared" si="17"/>
        <v>1.3994101299145534</v>
      </c>
      <c r="J38" s="111">
        <v>1.3994101299145534</v>
      </c>
      <c r="K38" s="64">
        <f t="shared" si="0"/>
        <v>16.458528632794845</v>
      </c>
      <c r="L38" s="64">
        <f t="shared" si="1"/>
        <v>16.643237922491959</v>
      </c>
      <c r="M38" s="64">
        <f t="shared" si="4"/>
        <v>16.550883277643401</v>
      </c>
      <c r="N38" s="67">
        <f t="shared" si="18"/>
        <v>0.78780661733958601</v>
      </c>
      <c r="O38" s="67">
        <f t="shared" si="19"/>
        <v>0.79660796764442299</v>
      </c>
      <c r="P38" s="116">
        <f t="shared" si="5"/>
        <v>0.7922072924920045</v>
      </c>
      <c r="Q38" s="67">
        <f t="shared" si="6"/>
        <v>1.418791928482922</v>
      </c>
      <c r="R38" s="67">
        <f t="shared" si="7"/>
        <v>1.418791928482922</v>
      </c>
      <c r="S38" s="116">
        <f t="shared" si="8"/>
        <v>1.418791928482922</v>
      </c>
      <c r="T38" s="113">
        <f>'800-Adj'!L39</f>
        <v>16.265071958796579</v>
      </c>
      <c r="U38" s="113">
        <f>'800-Adj'!M39</f>
        <v>16.386486182965825</v>
      </c>
      <c r="V38" s="113">
        <f t="shared" si="9"/>
        <v>16.325779070881204</v>
      </c>
      <c r="W38" s="112">
        <f t="shared" si="20"/>
        <v>0.78930887947630424</v>
      </c>
      <c r="X38" s="112">
        <f t="shared" si="21"/>
        <v>0.79520085004208652</v>
      </c>
      <c r="Y38" s="112">
        <f t="shared" si="22"/>
        <v>0.79225486475919538</v>
      </c>
      <c r="Z38" s="112">
        <f t="shared" si="23"/>
        <v>1.4381737270512907</v>
      </c>
      <c r="AA38" s="112">
        <f t="shared" si="24"/>
        <v>1.4381737270512907</v>
      </c>
      <c r="AB38" s="112">
        <v>1.4381737270512907</v>
      </c>
      <c r="AC38" s="216"/>
      <c r="AD38" s="133">
        <f t="shared" si="11"/>
        <v>1.0148933806183342</v>
      </c>
      <c r="AE38" s="133">
        <f t="shared" si="12"/>
        <v>1.0112227097463053</v>
      </c>
      <c r="AF38" s="133">
        <f t="shared" si="13"/>
        <v>1.0074647209970431</v>
      </c>
    </row>
    <row r="39" spans="1:32" s="87" customFormat="1" ht="15.75" x14ac:dyDescent="0.25">
      <c r="A39" s="134">
        <v>51</v>
      </c>
      <c r="B39" s="110">
        <f>'800-Adj'!C40</f>
        <v>17.226449512422931</v>
      </c>
      <c r="C39" s="110">
        <f>'800-Adj'!D40</f>
        <v>17.483009581713965</v>
      </c>
      <c r="D39" s="110">
        <f t="shared" si="2"/>
        <v>17.354729547068448</v>
      </c>
      <c r="E39" s="111">
        <f t="shared" si="14"/>
        <v>0.81068953610796668</v>
      </c>
      <c r="F39" s="111">
        <f t="shared" si="15"/>
        <v>0.82276344393252576</v>
      </c>
      <c r="G39" s="110">
        <f t="shared" si="3"/>
        <v>0.81672649002024622</v>
      </c>
      <c r="H39" s="111">
        <f t="shared" si="16"/>
        <v>1.4112098337252605</v>
      </c>
      <c r="I39" s="111">
        <f t="shared" si="17"/>
        <v>1.4112098337252605</v>
      </c>
      <c r="J39" s="111">
        <v>1.4112098337252605</v>
      </c>
      <c r="K39" s="64">
        <f t="shared" si="0"/>
        <v>17.026318923422657</v>
      </c>
      <c r="L39" s="64">
        <f t="shared" si="1"/>
        <v>17.217400358748257</v>
      </c>
      <c r="M39" s="64">
        <f t="shared" si="4"/>
        <v>17.121859641085457</v>
      </c>
      <c r="N39" s="67">
        <f t="shared" si="18"/>
        <v>0.81223838699079809</v>
      </c>
      <c r="O39" s="67">
        <f t="shared" si="19"/>
        <v>0.82131268824391646</v>
      </c>
      <c r="P39" s="116">
        <f t="shared" si="5"/>
        <v>0.81677553761735733</v>
      </c>
      <c r="Q39" s="67">
        <f t="shared" si="6"/>
        <v>1.4307550579238542</v>
      </c>
      <c r="R39" s="67">
        <f t="shared" si="7"/>
        <v>1.4307550579238542</v>
      </c>
      <c r="S39" s="116">
        <f t="shared" si="8"/>
        <v>1.4307550579238542</v>
      </c>
      <c r="T39" s="113">
        <f>'800-Adj'!L40</f>
        <v>16.826188334422383</v>
      </c>
      <c r="U39" s="113">
        <f>'800-Adj'!M40</f>
        <v>16.951791135782546</v>
      </c>
      <c r="V39" s="113">
        <f t="shared" si="9"/>
        <v>16.888989735102463</v>
      </c>
      <c r="W39" s="112">
        <f t="shared" si="20"/>
        <v>0.81378723787362939</v>
      </c>
      <c r="X39" s="112">
        <f t="shared" si="21"/>
        <v>0.81986193255530715</v>
      </c>
      <c r="Y39" s="112">
        <f t="shared" si="22"/>
        <v>0.81682458521446821</v>
      </c>
      <c r="Z39" s="112">
        <f t="shared" si="23"/>
        <v>1.4503002821224475</v>
      </c>
      <c r="AA39" s="112">
        <f t="shared" si="24"/>
        <v>1.4503002821224475</v>
      </c>
      <c r="AB39" s="112">
        <v>1.4503002821224475</v>
      </c>
      <c r="AC39" s="216"/>
      <c r="AD39" s="133">
        <f t="shared" si="11"/>
        <v>1.0148933806183342</v>
      </c>
      <c r="AE39" s="133">
        <f t="shared" si="12"/>
        <v>1.0112227097463053</v>
      </c>
      <c r="AF39" s="133">
        <f t="shared" si="13"/>
        <v>1.0074647209970431</v>
      </c>
    </row>
    <row r="40" spans="1:32" s="87" customFormat="1" ht="15.75" x14ac:dyDescent="0.25">
      <c r="A40" s="134">
        <v>52</v>
      </c>
      <c r="B40" s="110">
        <f>'800-Adj'!C41</f>
        <v>17.813776935200341</v>
      </c>
      <c r="C40" s="110">
        <f>'800-Adj'!D41</f>
        <v>18.07908429534638</v>
      </c>
      <c r="D40" s="110">
        <f t="shared" si="2"/>
        <v>17.946430615273361</v>
      </c>
      <c r="E40" s="111">
        <f t="shared" si="14"/>
        <v>0.8350747170130699</v>
      </c>
      <c r="F40" s="111">
        <f t="shared" si="15"/>
        <v>0.84751180261828796</v>
      </c>
      <c r="G40" s="110">
        <f t="shared" si="3"/>
        <v>0.84129325981567893</v>
      </c>
      <c r="H40" s="111">
        <f t="shared" si="16"/>
        <v>1.4218214315008302</v>
      </c>
      <c r="I40" s="111">
        <f t="shared" si="17"/>
        <v>1.4218214315008302</v>
      </c>
      <c r="J40" s="111">
        <v>1.4218214315008302</v>
      </c>
      <c r="K40" s="64">
        <f t="shared" si="0"/>
        <v>17.606822991046606</v>
      </c>
      <c r="L40" s="64">
        <f t="shared" si="1"/>
        <v>17.804419255029693</v>
      </c>
      <c r="M40" s="64">
        <f t="shared" si="4"/>
        <v>17.705621123038149</v>
      </c>
      <c r="N40" s="67">
        <f t="shared" si="18"/>
        <v>0.8366701566420105</v>
      </c>
      <c r="O40" s="67">
        <f t="shared" si="19"/>
        <v>0.84601740884340937</v>
      </c>
      <c r="P40" s="116">
        <f t="shared" si="5"/>
        <v>0.84134378274270993</v>
      </c>
      <c r="Q40" s="67">
        <f t="shared" si="6"/>
        <v>1.4415136260880013</v>
      </c>
      <c r="R40" s="67">
        <f t="shared" si="7"/>
        <v>1.4415136260880013</v>
      </c>
      <c r="S40" s="116">
        <f t="shared" si="8"/>
        <v>1.4415136260880013</v>
      </c>
      <c r="T40" s="113">
        <f>'800-Adj'!L41</f>
        <v>17.399869046892867</v>
      </c>
      <c r="U40" s="113">
        <f>'800-Adj'!M41</f>
        <v>17.529754214713005</v>
      </c>
      <c r="V40" s="113">
        <f t="shared" si="9"/>
        <v>17.464811630802934</v>
      </c>
      <c r="W40" s="112">
        <f t="shared" si="20"/>
        <v>0.83826559627095099</v>
      </c>
      <c r="X40" s="112">
        <f t="shared" si="21"/>
        <v>0.84452301506853089</v>
      </c>
      <c r="Y40" s="112">
        <f t="shared" si="22"/>
        <v>0.84139430566974094</v>
      </c>
      <c r="Z40" s="112">
        <f t="shared" si="23"/>
        <v>1.4612058206751724</v>
      </c>
      <c r="AA40" s="112">
        <f t="shared" si="24"/>
        <v>1.4612058206751724</v>
      </c>
      <c r="AB40" s="112">
        <v>1.4612058206751724</v>
      </c>
      <c r="AC40" s="216"/>
      <c r="AD40" s="133">
        <f t="shared" si="11"/>
        <v>1.014893380618334</v>
      </c>
      <c r="AE40" s="133">
        <f t="shared" si="12"/>
        <v>1.0112227097463051</v>
      </c>
      <c r="AF40" s="133">
        <f t="shared" si="13"/>
        <v>1.0074647209970429</v>
      </c>
    </row>
    <row r="41" spans="1:32" s="87" customFormat="1" ht="15.75" x14ac:dyDescent="0.25">
      <c r="A41" s="134">
        <v>53</v>
      </c>
      <c r="B41" s="110">
        <f>'800-Adj'!C42</f>
        <v>18.414255604133523</v>
      </c>
      <c r="C41" s="110">
        <f>'800-Adj'!D42</f>
        <v>18.688506121649176</v>
      </c>
      <c r="D41" s="110">
        <f t="shared" si="2"/>
        <v>18.551380862891349</v>
      </c>
      <c r="E41" s="111">
        <f t="shared" si="14"/>
        <v>0.85945989791816513</v>
      </c>
      <c r="F41" s="111">
        <f t="shared" si="15"/>
        <v>0.87226016130405792</v>
      </c>
      <c r="G41" s="110">
        <f t="shared" si="3"/>
        <v>0.86586002961111153</v>
      </c>
      <c r="H41" s="111">
        <f t="shared" si="16"/>
        <v>1.4312913053932341</v>
      </c>
      <c r="I41" s="111">
        <f t="shared" si="17"/>
        <v>1.4312913053932341</v>
      </c>
      <c r="J41" s="111">
        <v>1.4312913053932341</v>
      </c>
      <c r="K41" s="64">
        <f t="shared" si="0"/>
        <v>18.200325518459209</v>
      </c>
      <c r="L41" s="64">
        <f t="shared" si="1"/>
        <v>18.404582489041154</v>
      </c>
      <c r="M41" s="64">
        <f t="shared" si="4"/>
        <v>18.302454003750181</v>
      </c>
      <c r="N41" s="67">
        <f t="shared" si="18"/>
        <v>0.86110192629321625</v>
      </c>
      <c r="O41" s="67">
        <f t="shared" si="19"/>
        <v>0.87072212944290905</v>
      </c>
      <c r="P41" s="116">
        <f t="shared" si="5"/>
        <v>0.86591202786806265</v>
      </c>
      <c r="Q41" s="67">
        <f t="shared" si="6"/>
        <v>1.4511146575190927</v>
      </c>
      <c r="R41" s="67">
        <f t="shared" si="7"/>
        <v>1.4511146575190927</v>
      </c>
      <c r="S41" s="116">
        <f t="shared" si="8"/>
        <v>1.4511146575190927</v>
      </c>
      <c r="T41" s="113">
        <f>'800-Adj'!L42</f>
        <v>17.986395432784896</v>
      </c>
      <c r="U41" s="113">
        <f>'800-Adj'!M42</f>
        <v>18.120658856433128</v>
      </c>
      <c r="V41" s="113">
        <f t="shared" si="9"/>
        <v>18.053527144609014</v>
      </c>
      <c r="W41" s="112">
        <f t="shared" si="20"/>
        <v>0.86274395466826737</v>
      </c>
      <c r="X41" s="112">
        <f t="shared" si="21"/>
        <v>0.86918409758176007</v>
      </c>
      <c r="Y41" s="112">
        <f t="shared" si="22"/>
        <v>0.86596402612501366</v>
      </c>
      <c r="Z41" s="112">
        <f t="shared" si="23"/>
        <v>1.4709380096449514</v>
      </c>
      <c r="AA41" s="112">
        <f t="shared" si="24"/>
        <v>1.4709380096449514</v>
      </c>
      <c r="AB41" s="112">
        <v>1.4709380096449514</v>
      </c>
      <c r="AC41" s="216"/>
      <c r="AD41" s="133">
        <f t="shared" si="11"/>
        <v>1.0148933806183342</v>
      </c>
      <c r="AE41" s="133">
        <f t="shared" si="12"/>
        <v>1.0112227097463056</v>
      </c>
      <c r="AF41" s="133">
        <f t="shared" si="13"/>
        <v>1.0074647209970433</v>
      </c>
    </row>
    <row r="42" spans="1:32" s="87" customFormat="1" ht="15.75" x14ac:dyDescent="0.25">
      <c r="A42" s="134">
        <v>54</v>
      </c>
      <c r="B42" s="110">
        <f>'800-Adj'!C43</f>
        <v>19.028179997683285</v>
      </c>
      <c r="C42" s="110">
        <f>'800-Adj'!D43</f>
        <v>19.311573924862955</v>
      </c>
      <c r="D42" s="110">
        <f t="shared" si="2"/>
        <v>19.169876961273118</v>
      </c>
      <c r="E42" s="111">
        <f t="shared" si="14"/>
        <v>0.88384507882326624</v>
      </c>
      <c r="F42" s="111">
        <f t="shared" si="15"/>
        <v>0.89700851998982234</v>
      </c>
      <c r="G42" s="110">
        <f t="shared" si="3"/>
        <v>0.89042679940654423</v>
      </c>
      <c r="H42" s="111">
        <f t="shared" si="16"/>
        <v>1.4396643757919434</v>
      </c>
      <c r="I42" s="111">
        <f t="shared" si="17"/>
        <v>1.4396643757919434</v>
      </c>
      <c r="J42" s="111">
        <v>1.4396643757919434</v>
      </c>
      <c r="K42" s="64">
        <f t="shared" si="0"/>
        <v>18.807117562978249</v>
      </c>
      <c r="L42" s="64">
        <f t="shared" si="1"/>
        <v>19.018184384552193</v>
      </c>
      <c r="M42" s="64">
        <f t="shared" si="4"/>
        <v>18.912650973765221</v>
      </c>
      <c r="N42" s="67">
        <f t="shared" si="18"/>
        <v>0.8855336959444311</v>
      </c>
      <c r="O42" s="67">
        <f t="shared" si="19"/>
        <v>0.89542685004239986</v>
      </c>
      <c r="P42" s="116">
        <f t="shared" si="5"/>
        <v>0.89048027299341548</v>
      </c>
      <c r="Q42" s="67">
        <f t="shared" si="6"/>
        <v>1.4596036947529654</v>
      </c>
      <c r="R42" s="67">
        <f t="shared" si="7"/>
        <v>1.4596036947529654</v>
      </c>
      <c r="S42" s="116">
        <f t="shared" si="8"/>
        <v>1.4596036947529654</v>
      </c>
      <c r="T42" s="113">
        <f>'800-Adj'!L43</f>
        <v>18.586055128273212</v>
      </c>
      <c r="U42" s="113">
        <f>'800-Adj'!M43</f>
        <v>18.724794844241433</v>
      </c>
      <c r="V42" s="113">
        <f t="shared" si="9"/>
        <v>18.655424986257323</v>
      </c>
      <c r="W42" s="112">
        <f t="shared" si="20"/>
        <v>0.88722231306559596</v>
      </c>
      <c r="X42" s="112">
        <f t="shared" si="21"/>
        <v>0.89384518009497727</v>
      </c>
      <c r="Y42" s="112">
        <f t="shared" si="22"/>
        <v>0.89053374658028661</v>
      </c>
      <c r="Z42" s="112">
        <f t="shared" si="23"/>
        <v>1.4795430137139873</v>
      </c>
      <c r="AA42" s="112">
        <f t="shared" si="24"/>
        <v>1.4795430137139873</v>
      </c>
      <c r="AB42" s="112">
        <v>1.4795430137139873</v>
      </c>
      <c r="AC42" s="216"/>
      <c r="AD42" s="133">
        <f t="shared" si="11"/>
        <v>1.0148933806183342</v>
      </c>
      <c r="AE42" s="133">
        <f t="shared" si="12"/>
        <v>1.0112227097463051</v>
      </c>
      <c r="AF42" s="133">
        <f t="shared" si="13"/>
        <v>1.0074647209970431</v>
      </c>
    </row>
    <row r="43" spans="1:32" s="87" customFormat="1" ht="15.75" x14ac:dyDescent="0.25">
      <c r="A43" s="134">
        <v>55</v>
      </c>
      <c r="B43" s="110">
        <f>'800-Adj'!C44</f>
        <v>19.655851188177124</v>
      </c>
      <c r="C43" s="110">
        <f>'800-Adj'!D44</f>
        <v>19.948593261299983</v>
      </c>
      <c r="D43" s="110">
        <f t="shared" si="2"/>
        <v>19.802222224738554</v>
      </c>
      <c r="E43" s="111">
        <f t="shared" si="14"/>
        <v>0.9103507102418511</v>
      </c>
      <c r="F43" s="111">
        <f t="shared" si="15"/>
        <v>0.9239089098656561</v>
      </c>
      <c r="G43" s="110">
        <f t="shared" si="3"/>
        <v>0.9171298100537536</v>
      </c>
      <c r="H43" s="111">
        <f t="shared" si="16"/>
        <v>1.4503624254693064</v>
      </c>
      <c r="I43" s="111">
        <f t="shared" si="17"/>
        <v>1.4503624254693064</v>
      </c>
      <c r="J43" s="111">
        <v>1.4503624254693064</v>
      </c>
      <c r="K43" s="64">
        <f t="shared" si="0"/>
        <v>19.427496699183045</v>
      </c>
      <c r="L43" s="64">
        <f t="shared" si="1"/>
        <v>19.645525855735279</v>
      </c>
      <c r="M43" s="64">
        <f t="shared" si="4"/>
        <v>19.536511277459162</v>
      </c>
      <c r="N43" s="67">
        <f t="shared" si="18"/>
        <v>0.91208996730444136</v>
      </c>
      <c r="O43" s="67">
        <f t="shared" si="19"/>
        <v>0.92227980721576497</v>
      </c>
      <c r="P43" s="116">
        <f t="shared" si="5"/>
        <v>0.91718488726010317</v>
      </c>
      <c r="Q43" s="67">
        <f t="shared" si="6"/>
        <v>1.4704499121757899</v>
      </c>
      <c r="R43" s="67">
        <f t="shared" si="7"/>
        <v>1.4704499121757899</v>
      </c>
      <c r="S43" s="116">
        <f t="shared" si="8"/>
        <v>1.4704499121757899</v>
      </c>
      <c r="T43" s="113">
        <f>'800-Adj'!L44</f>
        <v>19.199142210188967</v>
      </c>
      <c r="U43" s="113">
        <f>'800-Adj'!M44</f>
        <v>19.342458450170579</v>
      </c>
      <c r="V43" s="113">
        <f t="shared" si="9"/>
        <v>19.270800330179775</v>
      </c>
      <c r="W43" s="112">
        <f t="shared" si="20"/>
        <v>0.91382922436703162</v>
      </c>
      <c r="X43" s="112">
        <f t="shared" si="21"/>
        <v>0.92065070456587372</v>
      </c>
      <c r="Y43" s="112">
        <f t="shared" si="22"/>
        <v>0.91723996446645262</v>
      </c>
      <c r="Z43" s="112">
        <f t="shared" si="23"/>
        <v>1.4905373988822732</v>
      </c>
      <c r="AA43" s="112">
        <f t="shared" si="24"/>
        <v>1.4905373988822732</v>
      </c>
      <c r="AB43" s="112">
        <v>1.4905373988822732</v>
      </c>
      <c r="AC43" s="216"/>
      <c r="AD43" s="133">
        <f t="shared" si="11"/>
        <v>1.0148933806183342</v>
      </c>
      <c r="AE43" s="133">
        <f t="shared" si="12"/>
        <v>1.0112227097463051</v>
      </c>
      <c r="AF43" s="133">
        <f t="shared" si="13"/>
        <v>1.0074647209970431</v>
      </c>
    </row>
    <row r="44" spans="1:32" s="87" customFormat="1" ht="15.75" x14ac:dyDescent="0.25">
      <c r="A44" s="134">
        <v>56</v>
      </c>
      <c r="B44" s="110">
        <f>'800-Adj'!C45</f>
        <v>20.29757698945695</v>
      </c>
      <c r="C44" s="110">
        <f>'800-Adj'!D45</f>
        <v>20.599876529190873</v>
      </c>
      <c r="D44" s="110">
        <f t="shared" si="2"/>
        <v>20.448726759323911</v>
      </c>
      <c r="E44" s="111">
        <f t="shared" si="14"/>
        <v>0.93685634166044041</v>
      </c>
      <c r="F44" s="111">
        <f t="shared" si="15"/>
        <v>0.95080929974148609</v>
      </c>
      <c r="G44" s="110">
        <f t="shared" si="3"/>
        <v>0.94383282070096319</v>
      </c>
      <c r="H44" s="111">
        <f t="shared" si="16"/>
        <v>1.4599013157831915</v>
      </c>
      <c r="I44" s="111">
        <f t="shared" si="17"/>
        <v>1.4599013157831915</v>
      </c>
      <c r="J44" s="111">
        <v>1.4599013157831915</v>
      </c>
      <c r="K44" s="64">
        <f t="shared" si="0"/>
        <v>20.061767164846891</v>
      </c>
      <c r="L44" s="64">
        <f t="shared" si="1"/>
        <v>20.28691455473593</v>
      </c>
      <c r="M44" s="64">
        <f t="shared" si="4"/>
        <v>20.17434085979141</v>
      </c>
      <c r="N44" s="67">
        <f t="shared" si="18"/>
        <v>0.9386462386644534</v>
      </c>
      <c r="O44" s="67">
        <f t="shared" si="19"/>
        <v>0.94913276438912875</v>
      </c>
      <c r="P44" s="116">
        <f t="shared" si="5"/>
        <v>0.94388950152679107</v>
      </c>
      <c r="Q44" s="67">
        <f t="shared" si="6"/>
        <v>1.4801209159042295</v>
      </c>
      <c r="R44" s="67">
        <f t="shared" si="7"/>
        <v>1.4801209159042295</v>
      </c>
      <c r="S44" s="116">
        <f t="shared" si="8"/>
        <v>1.4801209159042295</v>
      </c>
      <c r="T44" s="113">
        <f>'800-Adj'!L45</f>
        <v>19.825957340236837</v>
      </c>
      <c r="U44" s="113">
        <f>'800-Adj'!M45</f>
        <v>19.973952580280983</v>
      </c>
      <c r="V44" s="113">
        <f t="shared" si="9"/>
        <v>19.89995496025891</v>
      </c>
      <c r="W44" s="112">
        <f t="shared" si="20"/>
        <v>0.94043613566846629</v>
      </c>
      <c r="X44" s="112">
        <f t="shared" si="21"/>
        <v>0.94745622903677129</v>
      </c>
      <c r="Y44" s="112">
        <f t="shared" si="22"/>
        <v>0.94394618235261873</v>
      </c>
      <c r="Z44" s="112">
        <f t="shared" si="23"/>
        <v>1.5003405160252674</v>
      </c>
      <c r="AA44" s="112">
        <f t="shared" si="24"/>
        <v>1.5003405160252674</v>
      </c>
      <c r="AB44" s="112">
        <v>1.5003405160252674</v>
      </c>
      <c r="AC44" s="216"/>
      <c r="AD44" s="133">
        <f t="shared" si="11"/>
        <v>1.0148933806183342</v>
      </c>
      <c r="AE44" s="133">
        <f t="shared" si="12"/>
        <v>1.0112227097463056</v>
      </c>
      <c r="AF44" s="133">
        <f t="shared" si="13"/>
        <v>1.0074647209970431</v>
      </c>
    </row>
    <row r="45" spans="1:32" s="87" customFormat="1" ht="15.75" x14ac:dyDescent="0.25">
      <c r="A45" s="134">
        <v>57</v>
      </c>
      <c r="B45" s="110">
        <f>'800-Adj'!C46</f>
        <v>20.953672107832904</v>
      </c>
      <c r="C45" s="110">
        <f>'800-Adj'!D46</f>
        <v>21.265743121886633</v>
      </c>
      <c r="D45" s="110">
        <f t="shared" si="2"/>
        <v>21.109707614859769</v>
      </c>
      <c r="E45" s="111">
        <f t="shared" si="14"/>
        <v>0.96866309936274098</v>
      </c>
      <c r="F45" s="111">
        <f t="shared" si="15"/>
        <v>0.98308976759248745</v>
      </c>
      <c r="G45" s="110">
        <f t="shared" si="3"/>
        <v>0.97587643347761421</v>
      </c>
      <c r="H45" s="111">
        <f t="shared" si="16"/>
        <v>1.4764065030090328</v>
      </c>
      <c r="I45" s="111">
        <f t="shared" si="17"/>
        <v>1.4764065030090328</v>
      </c>
      <c r="J45" s="111">
        <v>1.4764065030090328</v>
      </c>
      <c r="K45" s="64">
        <f t="shared" si="0"/>
        <v>20.710240010137142</v>
      </c>
      <c r="L45" s="64">
        <f t="shared" si="1"/>
        <v>20.942665022547232</v>
      </c>
      <c r="M45" s="64">
        <f t="shared" si="4"/>
        <v>20.826452516342187</v>
      </c>
      <c r="N45" s="67">
        <f t="shared" si="18"/>
        <v>0.97051376429646663</v>
      </c>
      <c r="O45" s="67">
        <f t="shared" si="19"/>
        <v>0.98135631299716564</v>
      </c>
      <c r="P45" s="116">
        <f t="shared" si="5"/>
        <v>0.97593503864681619</v>
      </c>
      <c r="Q45" s="67">
        <f t="shared" si="6"/>
        <v>1.4968546995989054</v>
      </c>
      <c r="R45" s="67">
        <f t="shared" si="7"/>
        <v>1.4968546995989054</v>
      </c>
      <c r="S45" s="116">
        <f t="shared" si="8"/>
        <v>1.4968546995989054</v>
      </c>
      <c r="T45" s="113">
        <f>'800-Adj'!L46</f>
        <v>20.466807912441382</v>
      </c>
      <c r="U45" s="113">
        <f>'800-Adj'!M46</f>
        <v>20.61958692320783</v>
      </c>
      <c r="V45" s="113">
        <f t="shared" si="9"/>
        <v>20.543197417824608</v>
      </c>
      <c r="W45" s="112">
        <f t="shared" si="20"/>
        <v>0.97236442923019228</v>
      </c>
      <c r="X45" s="112">
        <f t="shared" si="21"/>
        <v>0.97962285840184382</v>
      </c>
      <c r="Y45" s="112">
        <f t="shared" si="22"/>
        <v>0.97599364381601805</v>
      </c>
      <c r="Z45" s="112">
        <f t="shared" si="23"/>
        <v>1.5173028961887778</v>
      </c>
      <c r="AA45" s="112">
        <f t="shared" si="24"/>
        <v>1.5173028961887778</v>
      </c>
      <c r="AB45" s="112">
        <v>1.5173028961887778</v>
      </c>
      <c r="AC45" s="216"/>
      <c r="AD45" s="133">
        <f t="shared" si="11"/>
        <v>1.0148933806183342</v>
      </c>
      <c r="AE45" s="133">
        <f t="shared" si="12"/>
        <v>1.0112227097463053</v>
      </c>
      <c r="AF45" s="133">
        <f t="shared" si="13"/>
        <v>1.0074647209970431</v>
      </c>
    </row>
    <row r="46" spans="1:32" s="87" customFormat="1" ht="15.75" x14ac:dyDescent="0.25">
      <c r="A46" s="134">
        <v>58</v>
      </c>
      <c r="B46" s="110">
        <f>'800-Adj'!C47</f>
        <v>21.624458296417302</v>
      </c>
      <c r="C46" s="110">
        <f>'800-Adj'!D47</f>
        <v>21.946519584491138</v>
      </c>
      <c r="D46" s="110">
        <f t="shared" si="2"/>
        <v>21.785488940454222</v>
      </c>
      <c r="E46" s="111">
        <f t="shared" si="14"/>
        <v>1.0004698570650461</v>
      </c>
      <c r="F46" s="111">
        <f t="shared" si="15"/>
        <v>1.0153702354434848</v>
      </c>
      <c r="G46" s="110">
        <f t="shared" si="3"/>
        <v>1.0079200462542655</v>
      </c>
      <c r="H46" s="111">
        <f t="shared" si="16"/>
        <v>1.4914884565175692</v>
      </c>
      <c r="I46" s="111">
        <f t="shared" si="17"/>
        <v>1.4914884565175692</v>
      </c>
      <c r="J46" s="111">
        <v>1.4914884565175692</v>
      </c>
      <c r="K46" s="64">
        <f t="shared" si="0"/>
        <v>21.373233250156147</v>
      </c>
      <c r="L46" s="64">
        <f t="shared" si="1"/>
        <v>21.613098843262733</v>
      </c>
      <c r="M46" s="64">
        <f t="shared" si="4"/>
        <v>21.49316604670944</v>
      </c>
      <c r="N46" s="67">
        <f t="shared" si="18"/>
        <v>1.0023812899284805</v>
      </c>
      <c r="O46" s="67">
        <f t="shared" si="19"/>
        <v>1.0135798616052023</v>
      </c>
      <c r="P46" s="116">
        <f t="shared" si="5"/>
        <v>1.0079805757668414</v>
      </c>
      <c r="Q46" s="67">
        <f t="shared" si="6"/>
        <v>1.5121455378215534</v>
      </c>
      <c r="R46" s="67">
        <f t="shared" si="7"/>
        <v>1.5121455378215534</v>
      </c>
      <c r="S46" s="116">
        <f t="shared" si="8"/>
        <v>1.5121455378215534</v>
      </c>
      <c r="T46" s="113">
        <f>'800-Adj'!L47</f>
        <v>21.122008203894996</v>
      </c>
      <c r="U46" s="113">
        <f>'800-Adj'!M47</f>
        <v>21.279678102034328</v>
      </c>
      <c r="V46" s="113">
        <f t="shared" si="9"/>
        <v>21.200843152964662</v>
      </c>
      <c r="W46" s="112">
        <f t="shared" si="20"/>
        <v>1.0042927227919147</v>
      </c>
      <c r="X46" s="112">
        <f t="shared" si="21"/>
        <v>1.0117894877669196</v>
      </c>
      <c r="Y46" s="112">
        <f t="shared" si="22"/>
        <v>1.0080411052794171</v>
      </c>
      <c r="Z46" s="112">
        <f t="shared" si="23"/>
        <v>1.5328026191255373</v>
      </c>
      <c r="AA46" s="112">
        <f t="shared" si="24"/>
        <v>1.5328026191255373</v>
      </c>
      <c r="AB46" s="112">
        <v>1.5328026191255373</v>
      </c>
      <c r="AC46" s="216"/>
      <c r="AD46" s="133">
        <f t="shared" si="11"/>
        <v>1.0148933806183342</v>
      </c>
      <c r="AE46" s="133">
        <f t="shared" si="12"/>
        <v>1.0112227097463053</v>
      </c>
      <c r="AF46" s="133">
        <f t="shared" si="13"/>
        <v>1.0074647209970431</v>
      </c>
    </row>
    <row r="47" spans="1:32" s="197" customFormat="1" ht="15.75" x14ac:dyDescent="0.25">
      <c r="A47" s="189">
        <v>59</v>
      </c>
      <c r="B47" s="190">
        <f>'800-Adj'!C48</f>
        <v>22.310264512914323</v>
      </c>
      <c r="C47" s="190">
        <f>'800-Adj'!D48</f>
        <v>22.64253977400087</v>
      </c>
      <c r="D47" s="190">
        <f t="shared" si="2"/>
        <v>22.476402143457598</v>
      </c>
      <c r="E47" s="191">
        <f t="shared" si="14"/>
        <v>1.0322766147673486</v>
      </c>
      <c r="F47" s="191">
        <f t="shared" si="15"/>
        <v>1.0476507032944855</v>
      </c>
      <c r="G47" s="190">
        <f t="shared" si="3"/>
        <v>1.0399636590309171</v>
      </c>
      <c r="H47" s="191">
        <f t="shared" si="16"/>
        <v>1.5052016005921303</v>
      </c>
      <c r="I47" s="191">
        <f t="shared" si="17"/>
        <v>1.5052016005921303</v>
      </c>
      <c r="J47" s="191">
        <v>1.5052016005921303</v>
      </c>
      <c r="K47" s="192">
        <f t="shared" si="0"/>
        <v>22.051072020897813</v>
      </c>
      <c r="L47" s="192">
        <f t="shared" si="1"/>
        <v>22.298544801783223</v>
      </c>
      <c r="M47" s="192">
        <f t="shared" si="4"/>
        <v>22.174808411340518</v>
      </c>
      <c r="N47" s="193">
        <f t="shared" si="18"/>
        <v>1.0342488155604954</v>
      </c>
      <c r="O47" s="193">
        <f t="shared" si="19"/>
        <v>1.0458034102132383</v>
      </c>
      <c r="P47" s="194">
        <f t="shared" si="5"/>
        <v>1.0400261128868669</v>
      </c>
      <c r="Q47" s="193">
        <f t="shared" si="6"/>
        <v>1.5260486086306124</v>
      </c>
      <c r="R47" s="193">
        <f t="shared" si="7"/>
        <v>1.5260486086306124</v>
      </c>
      <c r="S47" s="194">
        <f t="shared" si="8"/>
        <v>1.5260486086306124</v>
      </c>
      <c r="T47" s="195">
        <f>'800-Adj'!L48</f>
        <v>21.791879528881307</v>
      </c>
      <c r="U47" s="195">
        <f>'800-Adj'!M48</f>
        <v>21.954549829565579</v>
      </c>
      <c r="V47" s="195">
        <f t="shared" si="9"/>
        <v>21.873214679223445</v>
      </c>
      <c r="W47" s="196">
        <f t="shared" si="20"/>
        <v>1.0362210163536421</v>
      </c>
      <c r="X47" s="196">
        <f t="shared" si="21"/>
        <v>1.0439561171319913</v>
      </c>
      <c r="Y47" s="196">
        <f t="shared" si="22"/>
        <v>1.0400885667428166</v>
      </c>
      <c r="Z47" s="196">
        <f t="shared" si="23"/>
        <v>1.5468956166690946</v>
      </c>
      <c r="AA47" s="196">
        <f t="shared" si="24"/>
        <v>1.5468956166690946</v>
      </c>
      <c r="AB47" s="196">
        <v>1.5468956166690946</v>
      </c>
      <c r="AD47" s="198">
        <f t="shared" si="11"/>
        <v>1.0148933806183342</v>
      </c>
      <c r="AE47" s="198">
        <f t="shared" si="12"/>
        <v>1.0112227097463053</v>
      </c>
      <c r="AF47" s="198">
        <f t="shared" si="13"/>
        <v>1.0074647209970431</v>
      </c>
    </row>
    <row r="48" spans="1:32" x14ac:dyDescent="0.25">
      <c r="A48" s="39">
        <v>60</v>
      </c>
      <c r="B48" s="62">
        <f>(1.62 + ((297.67 - 1.62)*(($A48/190.42)^2.2051)))/(1 + (($A48 / 190.42)^2.2051))</f>
        <v>23.011034317145455</v>
      </c>
      <c r="C48" s="62">
        <f>(1.582 + ((301.11 - 1.582)*(($A48/204.36)^2.0729)))/( 1 + ($A48 / 204.36)^2.0729)</f>
        <v>23.353746409652249</v>
      </c>
      <c r="D48" s="110">
        <f>AVERAGE(B48:C48)</f>
        <v>23.182390363398852</v>
      </c>
      <c r="E48" s="111">
        <f>(B48-B47)*H48</f>
        <v>1.0577220209291942</v>
      </c>
      <c r="F48" s="111">
        <f>(C48-C47)*I48</f>
        <v>1.0734750775752819</v>
      </c>
      <c r="G48" s="110">
        <f>AVERAGE(E48:F48)</f>
        <v>1.065598549252238</v>
      </c>
      <c r="H48" s="111">
        <f t="shared" si="16"/>
        <v>1.5093715718668856</v>
      </c>
      <c r="I48" s="111">
        <f t="shared" si="17"/>
        <v>1.5093715718668856</v>
      </c>
      <c r="J48" s="111">
        <v>1.5093715718668856</v>
      </c>
      <c r="K48" s="64">
        <f t="shared" ref="K48:K79" si="25">(B48+T48)/2</f>
        <v>22.743700537884976</v>
      </c>
      <c r="L48" s="64">
        <f t="shared" ref="L48:L79" si="26">(C48+U48)/2</f>
        <v>22.998946487578543</v>
      </c>
      <c r="M48" s="64">
        <f t="shared" si="4"/>
        <v>22.87132351273176</v>
      </c>
      <c r="N48" s="67">
        <f t="shared" si="18"/>
        <v>1.0597428360661074</v>
      </c>
      <c r="O48" s="67">
        <f t="shared" si="19"/>
        <v>1.0715822490996667</v>
      </c>
      <c r="P48" s="116">
        <f t="shared" si="5"/>
        <v>1.0656625425828872</v>
      </c>
      <c r="Q48" s="67">
        <f t="shared" si="6"/>
        <v>1.530276333912971</v>
      </c>
      <c r="R48" s="67">
        <f t="shared" si="7"/>
        <v>1.530276333912971</v>
      </c>
      <c r="S48" s="116">
        <f t="shared" si="8"/>
        <v>1.530276333912971</v>
      </c>
      <c r="T48" s="65">
        <f>(1.62+((284.51-1.62)*(($A48/188.9)^2.2013)))/(1+(($A48 / 188.9)^2.2013))</f>
        <v>22.476366758624497</v>
      </c>
      <c r="U48" s="65">
        <f>(1.582+((300.01-1.582)*(($A48/207.81)^2.0705)))/(1+($A48/207.81)^2.0705)</f>
        <v>22.64414656550484</v>
      </c>
      <c r="V48" s="113">
        <f>AVERAGE(T48:U48)</f>
        <v>22.560256662064667</v>
      </c>
      <c r="W48" s="112">
        <f>(T48-T47)*Z48</f>
        <v>1.0617636512030206</v>
      </c>
      <c r="X48" s="112">
        <f t="shared" si="21"/>
        <v>1.0696894206240515</v>
      </c>
      <c r="Y48" s="112">
        <f t="shared" si="22"/>
        <v>1.0657265359135359</v>
      </c>
      <c r="Z48" s="112">
        <f t="shared" si="23"/>
        <v>1.5511810959590564</v>
      </c>
      <c r="AA48" s="112">
        <f t="shared" si="24"/>
        <v>1.5511810959590564</v>
      </c>
      <c r="AB48" s="112">
        <v>1.5511810959590564</v>
      </c>
      <c r="AC48" s="216"/>
      <c r="AD48" s="133">
        <f t="shared" si="11"/>
        <v>1.014893380618334</v>
      </c>
      <c r="AE48" s="133">
        <f t="shared" si="12"/>
        <v>1.0112227097463051</v>
      </c>
      <c r="AF48" s="133">
        <f t="shared" si="13"/>
        <v>1.0074647209970431</v>
      </c>
    </row>
    <row r="49" spans="1:32" x14ac:dyDescent="0.25">
      <c r="A49" s="39">
        <v>61</v>
      </c>
      <c r="B49" s="62">
        <f t="shared" ref="B49:B112" si="27">(1.62 + ((297.67 - 1.62)*(($A49/190.42)^2.2051)))/(1 + (($A49 / 190.42)^2.2051))</f>
        <v>23.745423475592798</v>
      </c>
      <c r="C49" s="62">
        <f>(1.582 + ((301.11 - 1.582)*(($A49/204.36)^2.0729)))/( 1 + ($A49 / 204.36)^2.0729)</f>
        <v>24.055409212836143</v>
      </c>
      <c r="D49" s="110">
        <f t="shared" si="2"/>
        <v>23.90041634421447</v>
      </c>
      <c r="E49" s="111">
        <f>(B49-B48)*H49</f>
        <v>1.1179919749289275</v>
      </c>
      <c r="F49" s="111">
        <f t="shared" si="15"/>
        <v>1.0681712468689386</v>
      </c>
      <c r="G49" s="110">
        <f t="shared" si="3"/>
        <v>1.093081610898933</v>
      </c>
      <c r="H49" s="111">
        <f t="shared" si="16"/>
        <v>1.5223427008271804</v>
      </c>
      <c r="I49" s="111">
        <f t="shared" si="17"/>
        <v>1.5223427008271804</v>
      </c>
      <c r="J49" s="111">
        <v>1.5223427008271804</v>
      </c>
      <c r="K49" s="64">
        <f t="shared" si="25"/>
        <v>23.467687922944744</v>
      </c>
      <c r="L49" s="64">
        <f t="shared" si="26"/>
        <v>23.689576278972567</v>
      </c>
      <c r="M49" s="64">
        <f t="shared" si="4"/>
        <v>23.578632100958657</v>
      </c>
      <c r="N49" s="67">
        <f t="shared" ref="N49:N80" si="28">(E49+W49)/2</f>
        <v>1.1186846323060118</v>
      </c>
      <c r="O49" s="67">
        <f t="shared" ref="O49:O80" si="29">(F49+X49)/2</f>
        <v>1.067115710355641</v>
      </c>
      <c r="P49" s="116">
        <f t="shared" si="5"/>
        <v>1.0929001713308264</v>
      </c>
      <c r="Q49" s="67">
        <f t="shared" ref="Q49:Q80" si="30">(H49+Z49)/2</f>
        <v>1.5455042120726017</v>
      </c>
      <c r="R49" s="67">
        <f t="shared" ref="R49:R80" si="31">(I49+AA49)/2</f>
        <v>1.5455042120726017</v>
      </c>
      <c r="S49" s="116">
        <f t="shared" si="8"/>
        <v>1.5455042120726017</v>
      </c>
      <c r="T49" s="65">
        <f t="shared" ref="T49:T112" si="32">(1.62+((284.51-1.62)*(($A49/188.9)^2.2013)))/(1+(($A49 / 188.9)^2.2013))</f>
        <v>23.189952370296691</v>
      </c>
      <c r="U49" s="65">
        <f t="shared" ref="U49:U112" si="33">(1.582+((300.01-1.582)*(($A49/207.81)^2.0705)))/(1+($A49/207.81)^2.0705)</f>
        <v>23.323743345108991</v>
      </c>
      <c r="V49" s="113">
        <f t="shared" si="9"/>
        <v>23.256847857702841</v>
      </c>
      <c r="W49" s="112">
        <f t="shared" si="20"/>
        <v>1.119377289683096</v>
      </c>
      <c r="X49" s="112">
        <f t="shared" si="21"/>
        <v>1.0660601738423434</v>
      </c>
      <c r="Y49" s="112">
        <f t="shared" si="22"/>
        <v>1.0927187317627198</v>
      </c>
      <c r="Z49" s="112">
        <f t="shared" si="23"/>
        <v>1.568665723318023</v>
      </c>
      <c r="AA49" s="112">
        <f t="shared" si="24"/>
        <v>1.568665723318023</v>
      </c>
      <c r="AB49" s="112">
        <v>1.568665723318023</v>
      </c>
      <c r="AC49" s="216"/>
      <c r="AD49" s="133">
        <f t="shared" si="11"/>
        <v>1.0130545465976621</v>
      </c>
      <c r="AE49" s="133">
        <f t="shared" si="12"/>
        <v>1.0094550582382202</v>
      </c>
      <c r="AF49" s="133">
        <f t="shared" si="13"/>
        <v>1.005769350996325</v>
      </c>
    </row>
    <row r="50" spans="1:32" x14ac:dyDescent="0.25">
      <c r="A50" s="39">
        <v>62</v>
      </c>
      <c r="B50" s="62">
        <f t="shared" si="27"/>
        <v>24.490407116745338</v>
      </c>
      <c r="C50" s="62">
        <f t="shared" ref="C50:C112" si="34">(1.582 + ((301.11 - 1.582)*(($A50/204.36)^2.0729)))/( 1 + ($A50 / 204.36)^2.0729)</f>
        <v>24.76587128048352</v>
      </c>
      <c r="D50" s="110">
        <f t="shared" si="2"/>
        <v>24.628139198614427</v>
      </c>
      <c r="E50" s="111">
        <f t="shared" si="14"/>
        <v>1.1499494850384651</v>
      </c>
      <c r="F50" s="111">
        <f t="shared" si="15"/>
        <v>1.0966623207544757</v>
      </c>
      <c r="G50" s="110">
        <f t="shared" si="3"/>
        <v>1.1233059028964703</v>
      </c>
      <c r="H50" s="111">
        <f t="shared" si="16"/>
        <v>1.5435902501958498</v>
      </c>
      <c r="I50" s="111">
        <f t="shared" si="17"/>
        <v>1.5435902501958498</v>
      </c>
      <c r="J50" s="111">
        <v>1.5435902501958498</v>
      </c>
      <c r="K50" s="64">
        <f t="shared" si="25"/>
        <v>24.202060323518488</v>
      </c>
      <c r="L50" s="64">
        <f t="shared" si="26"/>
        <v>24.388906521248188</v>
      </c>
      <c r="M50" s="64">
        <f t="shared" si="4"/>
        <v>24.295483422383338</v>
      </c>
      <c r="N50" s="67">
        <f t="shared" si="28"/>
        <v>1.1510907605447793</v>
      </c>
      <c r="O50" s="67">
        <f t="shared" si="29"/>
        <v>1.0961391300131167</v>
      </c>
      <c r="P50" s="116">
        <f t="shared" si="5"/>
        <v>1.1236149452789479</v>
      </c>
      <c r="Q50" s="67">
        <f t="shared" si="30"/>
        <v>1.5677980745095401</v>
      </c>
      <c r="R50" s="67">
        <f t="shared" si="31"/>
        <v>1.5677980745095401</v>
      </c>
      <c r="S50" s="116">
        <f t="shared" si="8"/>
        <v>1.5677980745095401</v>
      </c>
      <c r="T50" s="65">
        <f t="shared" si="32"/>
        <v>23.913713530291634</v>
      </c>
      <c r="U50" s="65">
        <f t="shared" si="33"/>
        <v>24.011941762012853</v>
      </c>
      <c r="V50" s="113">
        <f t="shared" si="9"/>
        <v>23.962827646152242</v>
      </c>
      <c r="W50" s="112">
        <f t="shared" si="20"/>
        <v>1.1522320360510936</v>
      </c>
      <c r="X50" s="112">
        <f t="shared" si="21"/>
        <v>1.0956159392717579</v>
      </c>
      <c r="Y50" s="112">
        <f t="shared" si="22"/>
        <v>1.1239239876614258</v>
      </c>
      <c r="Z50" s="112">
        <f t="shared" si="23"/>
        <v>1.5920058988232306</v>
      </c>
      <c r="AA50" s="112">
        <f t="shared" si="24"/>
        <v>1.5920058988232306</v>
      </c>
      <c r="AB50" s="112">
        <v>1.5920058988232306</v>
      </c>
      <c r="AC50" s="216"/>
      <c r="AD50" s="133">
        <f t="shared" si="11"/>
        <v>1.0112478393039792</v>
      </c>
      <c r="AE50" s="133">
        <f t="shared" si="12"/>
        <v>1.0077202599791941</v>
      </c>
      <c r="AF50" s="133">
        <f t="shared" si="13"/>
        <v>1.0041076109570684</v>
      </c>
    </row>
    <row r="51" spans="1:32" x14ac:dyDescent="0.25">
      <c r="A51" s="39">
        <v>63</v>
      </c>
      <c r="B51" s="62">
        <f t="shared" si="27"/>
        <v>25.24582753080044</v>
      </c>
      <c r="C51" s="62">
        <f t="shared" si="34"/>
        <v>25.484983697631851</v>
      </c>
      <c r="D51" s="110">
        <f t="shared" si="2"/>
        <v>25.365405614216144</v>
      </c>
      <c r="E51" s="111">
        <f t="shared" si="14"/>
        <v>1.1820346367598189</v>
      </c>
      <c r="F51" s="111">
        <f t="shared" si="15"/>
        <v>1.1252221530928876</v>
      </c>
      <c r="G51" s="110">
        <f t="shared" si="3"/>
        <v>1.1536283949263533</v>
      </c>
      <c r="H51" s="111">
        <f t="shared" si="16"/>
        <v>1.5647374822910181</v>
      </c>
      <c r="I51" s="111">
        <f t="shared" si="17"/>
        <v>1.5647374822910181</v>
      </c>
      <c r="J51" s="111">
        <v>1.5647374822910181</v>
      </c>
      <c r="K51" s="64">
        <f t="shared" si="25"/>
        <v>24.946660575605129</v>
      </c>
      <c r="L51" s="64">
        <f t="shared" si="26"/>
        <v>25.096792566456319</v>
      </c>
      <c r="M51" s="64">
        <f t="shared" si="4"/>
        <v>25.021726571030726</v>
      </c>
      <c r="N51" s="67">
        <f t="shared" si="28"/>
        <v>1.1836507992714727</v>
      </c>
      <c r="O51" s="67">
        <f t="shared" si="29"/>
        <v>1.1252644555704729</v>
      </c>
      <c r="P51" s="116">
        <f t="shared" si="5"/>
        <v>1.1544576274209728</v>
      </c>
      <c r="Q51" s="67">
        <f t="shared" si="30"/>
        <v>1.5900132778024103</v>
      </c>
      <c r="R51" s="67">
        <f t="shared" si="31"/>
        <v>1.5900132778024103</v>
      </c>
      <c r="S51" s="116">
        <f t="shared" si="8"/>
        <v>1.5900132778024103</v>
      </c>
      <c r="T51" s="65">
        <f t="shared" si="32"/>
        <v>24.647493620409822</v>
      </c>
      <c r="U51" s="65">
        <f t="shared" si="33"/>
        <v>24.708601435280787</v>
      </c>
      <c r="V51" s="113">
        <f t="shared" si="9"/>
        <v>24.678047527845305</v>
      </c>
      <c r="W51" s="112">
        <f t="shared" si="20"/>
        <v>1.1852669617831262</v>
      </c>
      <c r="X51" s="112">
        <f t="shared" si="21"/>
        <v>1.125306758048058</v>
      </c>
      <c r="Y51" s="112">
        <f t="shared" si="22"/>
        <v>1.1552868599155921</v>
      </c>
      <c r="Z51" s="112">
        <f t="shared" si="23"/>
        <v>1.6152890733138026</v>
      </c>
      <c r="AA51" s="112">
        <f t="shared" si="24"/>
        <v>1.6152890733138026</v>
      </c>
      <c r="AB51" s="112">
        <v>1.6152890733138026</v>
      </c>
      <c r="AC51" s="216"/>
      <c r="AD51" s="133">
        <f t="shared" si="11"/>
        <v>1.0094730967538947</v>
      </c>
      <c r="AE51" s="133">
        <f t="shared" si="12"/>
        <v>1.006018119755796</v>
      </c>
      <c r="AF51" s="133">
        <f t="shared" si="13"/>
        <v>1.0024792709478729</v>
      </c>
    </row>
    <row r="52" spans="1:32" x14ac:dyDescent="0.25">
      <c r="A52" s="39">
        <v>64</v>
      </c>
      <c r="B52" s="62">
        <f t="shared" si="27"/>
        <v>26.011524252084556</v>
      </c>
      <c r="C52" s="62">
        <f t="shared" si="34"/>
        <v>26.212596399571144</v>
      </c>
      <c r="D52" s="110">
        <f t="shared" si="2"/>
        <v>26.112060325827848</v>
      </c>
      <c r="E52" s="111">
        <f t="shared" si="14"/>
        <v>1.2142236425021073</v>
      </c>
      <c r="F52" s="111">
        <f t="shared" si="15"/>
        <v>1.1538309107525975</v>
      </c>
      <c r="G52" s="110">
        <f t="shared" si="3"/>
        <v>1.1840272766273525</v>
      </c>
      <c r="H52" s="111">
        <f t="shared" si="16"/>
        <v>1.5857762071460719</v>
      </c>
      <c r="I52" s="111">
        <f t="shared" si="17"/>
        <v>1.5857762071460719</v>
      </c>
      <c r="J52" s="111">
        <v>1.5857762071460719</v>
      </c>
      <c r="K52" s="64">
        <f t="shared" si="25"/>
        <v>25.701328833981947</v>
      </c>
      <c r="L52" s="64">
        <f t="shared" si="26"/>
        <v>25.813088626667856</v>
      </c>
      <c r="M52" s="64">
        <f t="shared" si="4"/>
        <v>25.757208730324901</v>
      </c>
      <c r="N52" s="67">
        <f t="shared" si="28"/>
        <v>1.2163416599854329</v>
      </c>
      <c r="O52" s="67">
        <f t="shared" si="29"/>
        <v>1.1544726276128356</v>
      </c>
      <c r="P52" s="116">
        <f t="shared" si="5"/>
        <v>1.1854071437991343</v>
      </c>
      <c r="Q52" s="67">
        <f t="shared" si="30"/>
        <v>1.6121420521190877</v>
      </c>
      <c r="R52" s="67">
        <f t="shared" si="31"/>
        <v>1.6121420521190877</v>
      </c>
      <c r="S52" s="116">
        <f t="shared" si="8"/>
        <v>1.6121420521190877</v>
      </c>
      <c r="T52" s="65">
        <f t="shared" si="32"/>
        <v>25.391133415879338</v>
      </c>
      <c r="U52" s="65">
        <f t="shared" si="33"/>
        <v>25.413580853764568</v>
      </c>
      <c r="V52" s="113">
        <f t="shared" si="9"/>
        <v>25.402357134821955</v>
      </c>
      <c r="W52" s="112">
        <f t="shared" si="20"/>
        <v>1.2184596774687586</v>
      </c>
      <c r="X52" s="112">
        <f t="shared" si="21"/>
        <v>1.1551143444730736</v>
      </c>
      <c r="Y52" s="112">
        <f t="shared" si="22"/>
        <v>1.186787010970916</v>
      </c>
      <c r="Z52" s="112">
        <f t="shared" si="23"/>
        <v>1.6385078970921034</v>
      </c>
      <c r="AA52" s="112">
        <f t="shared" si="24"/>
        <v>1.6385078970921034</v>
      </c>
      <c r="AB52" s="112">
        <v>1.6385078970921034</v>
      </c>
      <c r="AC52" s="216"/>
      <c r="AD52" s="133">
        <f t="shared" si="11"/>
        <v>1.0077301178330784</v>
      </c>
      <c r="AE52" s="133">
        <f t="shared" si="12"/>
        <v>1.0043484052286877</v>
      </c>
      <c r="AF52" s="133">
        <f t="shared" si="13"/>
        <v>1.000884066005151</v>
      </c>
    </row>
    <row r="53" spans="1:32" x14ac:dyDescent="0.25">
      <c r="A53" s="39">
        <v>65</v>
      </c>
      <c r="B53" s="62">
        <f t="shared" si="27"/>
        <v>26.787334190372672</v>
      </c>
      <c r="C53" s="62">
        <f t="shared" si="34"/>
        <v>26.948558258726376</v>
      </c>
      <c r="D53" s="110">
        <f t="shared" si="2"/>
        <v>26.867946224549524</v>
      </c>
      <c r="E53" s="111">
        <f t="shared" si="14"/>
        <v>1.2464928100808219</v>
      </c>
      <c r="F53" s="111">
        <f t="shared" si="15"/>
        <v>1.1824689536137685</v>
      </c>
      <c r="G53" s="110">
        <f t="shared" si="3"/>
        <v>1.2144808818472952</v>
      </c>
      <c r="H53" s="111">
        <f t="shared" si="16"/>
        <v>1.6066986881236702</v>
      </c>
      <c r="I53" s="111">
        <f t="shared" si="17"/>
        <v>1.6066986881236702</v>
      </c>
      <c r="J53" s="111">
        <v>1.6066986881236702</v>
      </c>
      <c r="K53" s="64">
        <f t="shared" si="25"/>
        <v>26.465902703045693</v>
      </c>
      <c r="L53" s="64">
        <f t="shared" si="26"/>
        <v>26.537647857446547</v>
      </c>
      <c r="M53" s="64">
        <f t="shared" si="4"/>
        <v>26.501775280246122</v>
      </c>
      <c r="N53" s="67">
        <f t="shared" si="28"/>
        <v>1.2491403255850999</v>
      </c>
      <c r="O53" s="67">
        <f t="shared" si="29"/>
        <v>1.1837447450225262</v>
      </c>
      <c r="P53" s="116">
        <f t="shared" si="5"/>
        <v>1.2164425353038131</v>
      </c>
      <c r="Q53" s="67">
        <f t="shared" si="30"/>
        <v>1.6341770559835485</v>
      </c>
      <c r="R53" s="67">
        <f t="shared" si="31"/>
        <v>1.6341770559835485</v>
      </c>
      <c r="S53" s="116">
        <f t="shared" si="8"/>
        <v>1.6341770559835485</v>
      </c>
      <c r="T53" s="65">
        <f t="shared" si="32"/>
        <v>26.144471215718717</v>
      </c>
      <c r="U53" s="65">
        <f t="shared" si="33"/>
        <v>26.126737456166719</v>
      </c>
      <c r="V53" s="113">
        <f t="shared" si="9"/>
        <v>26.135604335942716</v>
      </c>
      <c r="W53" s="112">
        <f t="shared" si="20"/>
        <v>1.2517878410893777</v>
      </c>
      <c r="X53" s="112">
        <f t="shared" si="21"/>
        <v>1.1850205364312842</v>
      </c>
      <c r="Y53" s="112">
        <f t="shared" si="22"/>
        <v>1.218404188760331</v>
      </c>
      <c r="Z53" s="112">
        <f t="shared" si="23"/>
        <v>1.6616554238434267</v>
      </c>
      <c r="AA53" s="112">
        <f t="shared" si="24"/>
        <v>1.6616554238434267</v>
      </c>
      <c r="AB53" s="112">
        <v>1.6616554238434267</v>
      </c>
      <c r="AC53" s="216"/>
      <c r="AD53" s="133">
        <f t="shared" si="11"/>
        <v>1.0060186678975935</v>
      </c>
      <c r="AE53" s="133">
        <f t="shared" si="12"/>
        <v>1.0027108523448398</v>
      </c>
      <c r="AF53" s="133">
        <f t="shared" si="13"/>
        <v>0.99932170134918097</v>
      </c>
    </row>
    <row r="54" spans="1:32" x14ac:dyDescent="0.25">
      <c r="A54" s="39">
        <v>66</v>
      </c>
      <c r="B54" s="62">
        <f t="shared" si="27"/>
        <v>27.573091761974627</v>
      </c>
      <c r="C54" s="62">
        <f t="shared" si="34"/>
        <v>27.692717170741219</v>
      </c>
      <c r="D54" s="110">
        <f t="shared" si="2"/>
        <v>27.632904466357921</v>
      </c>
      <c r="E54" s="111">
        <f t="shared" si="14"/>
        <v>1.2788185931026352</v>
      </c>
      <c r="F54" s="111">
        <f t="shared" si="15"/>
        <v>1.2111168728128878</v>
      </c>
      <c r="G54" s="110">
        <f t="shared" si="3"/>
        <v>1.2449677329577615</v>
      </c>
      <c r="H54" s="111">
        <f t="shared" si="16"/>
        <v>1.6274976396287937</v>
      </c>
      <c r="I54" s="111">
        <f t="shared" si="17"/>
        <v>1.6274976396287937</v>
      </c>
      <c r="J54" s="111">
        <v>1.6274976396287937</v>
      </c>
      <c r="K54" s="64">
        <f t="shared" si="25"/>
        <v>27.240217367373781</v>
      </c>
      <c r="L54" s="64">
        <f t="shared" si="26"/>
        <v>27.270322440580458</v>
      </c>
      <c r="M54" s="64">
        <f t="shared" si="4"/>
        <v>27.255269903977119</v>
      </c>
      <c r="N54" s="67">
        <f t="shared" si="28"/>
        <v>1.2820238965319408</v>
      </c>
      <c r="O54" s="67">
        <f t="shared" si="29"/>
        <v>1.213062099323885</v>
      </c>
      <c r="P54" s="116">
        <f t="shared" si="5"/>
        <v>1.2475429979279129</v>
      </c>
      <c r="Q54" s="67">
        <f t="shared" si="30"/>
        <v>1.656111371630502</v>
      </c>
      <c r="R54" s="67">
        <f t="shared" si="31"/>
        <v>1.656111371630502</v>
      </c>
      <c r="S54" s="116">
        <f t="shared" si="8"/>
        <v>1.656111371630502</v>
      </c>
      <c r="T54" s="65">
        <f t="shared" si="32"/>
        <v>26.907342972772931</v>
      </c>
      <c r="U54" s="65">
        <f t="shared" si="33"/>
        <v>26.847927710419693</v>
      </c>
      <c r="V54" s="113">
        <f t="shared" si="9"/>
        <v>26.87763534159631</v>
      </c>
      <c r="W54" s="112">
        <f t="shared" si="20"/>
        <v>1.2852291999612464</v>
      </c>
      <c r="X54" s="112">
        <f t="shared" si="21"/>
        <v>1.2150073258348819</v>
      </c>
      <c r="Y54" s="112">
        <f t="shared" si="22"/>
        <v>1.2501182628980643</v>
      </c>
      <c r="Z54" s="112">
        <f t="shared" si="23"/>
        <v>1.6847251036322102</v>
      </c>
      <c r="AA54" s="112">
        <f t="shared" si="24"/>
        <v>1.6847251036322102</v>
      </c>
      <c r="AB54" s="112">
        <v>1.6847251036322102</v>
      </c>
      <c r="AC54" s="216"/>
      <c r="AD54" s="133">
        <f t="shared" si="11"/>
        <v>1.0043384836854445</v>
      </c>
      <c r="AE54" s="133">
        <f t="shared" si="12"/>
        <v>1.0011051700799838</v>
      </c>
      <c r="AF54" s="133">
        <f t="shared" si="13"/>
        <v>0.99779185695096839</v>
      </c>
    </row>
    <row r="55" spans="1:32" x14ac:dyDescent="0.25">
      <c r="A55" s="39">
        <v>67</v>
      </c>
      <c r="B55" s="62">
        <f t="shared" si="27"/>
        <v>28.368629020493998</v>
      </c>
      <c r="C55" s="62">
        <f t="shared" si="34"/>
        <v>28.444920139714156</v>
      </c>
      <c r="D55" s="110">
        <f t="shared" si="2"/>
        <v>28.406774580104077</v>
      </c>
      <c r="E55" s="111">
        <f t="shared" si="14"/>
        <v>1.3111776402785051</v>
      </c>
      <c r="F55" s="111">
        <f t="shared" si="15"/>
        <v>1.2397555278605563</v>
      </c>
      <c r="G55" s="110">
        <f t="shared" si="3"/>
        <v>1.2754665840695307</v>
      </c>
      <c r="H55" s="111">
        <f t="shared" si="16"/>
        <v>1.6481662250726361</v>
      </c>
      <c r="I55" s="111">
        <f t="shared" si="17"/>
        <v>1.6481662250726361</v>
      </c>
      <c r="J55" s="111">
        <v>1.6481662250726361</v>
      </c>
      <c r="K55" s="64">
        <f t="shared" si="25"/>
        <v>28.024105721910473</v>
      </c>
      <c r="L55" s="64">
        <f t="shared" si="26"/>
        <v>28.010963666025681</v>
      </c>
      <c r="M55" s="64">
        <f t="shared" si="4"/>
        <v>28.017534693968077</v>
      </c>
      <c r="N55" s="67">
        <f t="shared" si="28"/>
        <v>1.3149696360151402</v>
      </c>
      <c r="O55" s="67">
        <f t="shared" si="29"/>
        <v>1.2424062080291249</v>
      </c>
      <c r="P55" s="116">
        <f t="shared" si="5"/>
        <v>1.2786879220221326</v>
      </c>
      <c r="Q55" s="67">
        <f t="shared" si="30"/>
        <v>1.6779385007877721</v>
      </c>
      <c r="R55" s="67">
        <f t="shared" si="31"/>
        <v>1.6779385007877721</v>
      </c>
      <c r="S55" s="116">
        <f t="shared" si="8"/>
        <v>1.6779385007877721</v>
      </c>
      <c r="T55" s="65">
        <f t="shared" si="32"/>
        <v>27.679582423326945</v>
      </c>
      <c r="U55" s="65">
        <f t="shared" si="33"/>
        <v>27.577007192337206</v>
      </c>
      <c r="V55" s="113">
        <f t="shared" si="9"/>
        <v>27.628294807832077</v>
      </c>
      <c r="W55" s="112">
        <f t="shared" si="20"/>
        <v>1.318761631751775</v>
      </c>
      <c r="X55" s="112">
        <f t="shared" si="21"/>
        <v>1.2450568881976933</v>
      </c>
      <c r="Y55" s="112">
        <f t="shared" si="22"/>
        <v>1.2819092599747341</v>
      </c>
      <c r="Z55" s="112">
        <f t="shared" si="23"/>
        <v>1.707710776502908</v>
      </c>
      <c r="AA55" s="112">
        <f t="shared" si="24"/>
        <v>1.707710776502908</v>
      </c>
      <c r="AB55" s="112">
        <v>1.707710776502908</v>
      </c>
      <c r="AC55" s="216"/>
      <c r="AD55" s="133">
        <f t="shared" si="11"/>
        <v>1.0026892776230054</v>
      </c>
      <c r="AE55" s="133">
        <f t="shared" si="12"/>
        <v>0.9995310445937079</v>
      </c>
      <c r="AF55" s="133">
        <f t="shared" si="13"/>
        <v>0.99629419153002485</v>
      </c>
    </row>
    <row r="56" spans="1:32" x14ac:dyDescent="0.25">
      <c r="A56" s="39">
        <v>68</v>
      </c>
      <c r="B56" s="62">
        <f t="shared" si="27"/>
        <v>29.173775787164139</v>
      </c>
      <c r="C56" s="62">
        <f t="shared" si="34"/>
        <v>29.205013362538743</v>
      </c>
      <c r="D56" s="110">
        <f t="shared" si="2"/>
        <v>29.189394574851441</v>
      </c>
      <c r="E56" s="111">
        <f t="shared" si="14"/>
        <v>1.3435468434750106</v>
      </c>
      <c r="F56" s="111">
        <f t="shared" si="15"/>
        <v>1.2683660824922656</v>
      </c>
      <c r="G56" s="110">
        <f t="shared" si="3"/>
        <v>1.3059564629836382</v>
      </c>
      <c r="H56" s="111">
        <f t="shared" si="16"/>
        <v>1.6686980549292141</v>
      </c>
      <c r="I56" s="111">
        <f t="shared" si="17"/>
        <v>1.6686980549292141</v>
      </c>
      <c r="J56" s="111">
        <v>1.6686980549292141</v>
      </c>
      <c r="K56" s="64">
        <f t="shared" si="25"/>
        <v>28.817398501681922</v>
      </c>
      <c r="L56" s="64">
        <f t="shared" si="26"/>
        <v>28.759422013016668</v>
      </c>
      <c r="M56" s="64">
        <f t="shared" si="4"/>
        <v>28.788410257349295</v>
      </c>
      <c r="N56" s="67">
        <f t="shared" si="28"/>
        <v>1.3479550139593082</v>
      </c>
      <c r="O56" s="67">
        <f t="shared" si="29"/>
        <v>1.2717588468725602</v>
      </c>
      <c r="P56" s="116">
        <f t="shared" si="5"/>
        <v>1.3098569304159342</v>
      </c>
      <c r="Q56" s="67">
        <f t="shared" si="30"/>
        <v>1.6996523607378271</v>
      </c>
      <c r="R56" s="67">
        <f t="shared" si="31"/>
        <v>1.6996523607378271</v>
      </c>
      <c r="S56" s="116">
        <f t="shared" si="8"/>
        <v>1.6996523607378271</v>
      </c>
      <c r="T56" s="65">
        <f t="shared" si="32"/>
        <v>28.461021216199708</v>
      </c>
      <c r="U56" s="65">
        <f t="shared" si="33"/>
        <v>28.313830663494588</v>
      </c>
      <c r="V56" s="113">
        <f t="shared" si="9"/>
        <v>28.387425939847148</v>
      </c>
      <c r="W56" s="112">
        <f t="shared" si="20"/>
        <v>1.3523631844436059</v>
      </c>
      <c r="X56" s="112">
        <f t="shared" si="21"/>
        <v>1.2751516112528551</v>
      </c>
      <c r="Y56" s="112">
        <f t="shared" si="22"/>
        <v>1.3137573978482306</v>
      </c>
      <c r="Z56" s="112">
        <f t="shared" si="23"/>
        <v>1.7306066665464401</v>
      </c>
      <c r="AA56" s="112">
        <f t="shared" si="24"/>
        <v>1.7306066665464401</v>
      </c>
      <c r="AB56" s="112">
        <v>1.7306066665464401</v>
      </c>
      <c r="AC56" s="216"/>
      <c r="AD56" s="133">
        <f t="shared" si="11"/>
        <v>1.0010707416003501</v>
      </c>
      <c r="AE56" s="133">
        <f t="shared" si="12"/>
        <v>0.99798814286925064</v>
      </c>
      <c r="AF56" s="133">
        <f t="shared" si="13"/>
        <v>0.99482834605311565</v>
      </c>
    </row>
    <row r="57" spans="1:32" x14ac:dyDescent="0.25">
      <c r="A57" s="39">
        <v>69</v>
      </c>
      <c r="B57" s="62">
        <f t="shared" si="27"/>
        <v>29.988359780663778</v>
      </c>
      <c r="C57" s="62">
        <f t="shared" si="34"/>
        <v>29.972842312300518</v>
      </c>
      <c r="D57" s="110">
        <f t="shared" si="2"/>
        <v>29.98060104648215</v>
      </c>
      <c r="E57" s="111">
        <f t="shared" si="14"/>
        <v>1.3759033843218635</v>
      </c>
      <c r="F57" s="111">
        <f t="shared" si="15"/>
        <v>1.2969300391218606</v>
      </c>
      <c r="G57" s="110">
        <f t="shared" si="3"/>
        <v>1.3364167117218622</v>
      </c>
      <c r="H57" s="111">
        <f t="shared" si="16"/>
        <v>1.6890871847489519</v>
      </c>
      <c r="I57" s="111">
        <f t="shared" si="17"/>
        <v>1.6890871847489519</v>
      </c>
      <c r="J57" s="111">
        <v>1.6890871847489519</v>
      </c>
      <c r="K57" s="64">
        <f t="shared" si="25"/>
        <v>29.619924410942289</v>
      </c>
      <c r="L57" s="64">
        <f t="shared" si="26"/>
        <v>29.515547230297955</v>
      </c>
      <c r="M57" s="64">
        <f t="shared" si="4"/>
        <v>29.567735820620122</v>
      </c>
      <c r="N57" s="67">
        <f t="shared" si="28"/>
        <v>1.3809577497251673</v>
      </c>
      <c r="O57" s="67">
        <f t="shared" si="29"/>
        <v>1.3011020808279816</v>
      </c>
      <c r="P57" s="116">
        <f t="shared" si="5"/>
        <v>1.3410299152765743</v>
      </c>
      <c r="Q57" s="67">
        <f t="shared" si="30"/>
        <v>1.7212472805299635</v>
      </c>
      <c r="R57" s="67">
        <f t="shared" si="31"/>
        <v>1.7212472805299635</v>
      </c>
      <c r="S57" s="116">
        <f t="shared" si="8"/>
        <v>1.7212472805299635</v>
      </c>
      <c r="T57" s="65">
        <f t="shared" si="32"/>
        <v>29.251489041220797</v>
      </c>
      <c r="U57" s="65">
        <f t="shared" si="33"/>
        <v>29.058252148295395</v>
      </c>
      <c r="V57" s="113">
        <f t="shared" si="9"/>
        <v>29.154870594758094</v>
      </c>
      <c r="W57" s="112">
        <f t="shared" si="20"/>
        <v>1.386012115128471</v>
      </c>
      <c r="X57" s="112">
        <f t="shared" si="21"/>
        <v>1.3052741225341027</v>
      </c>
      <c r="Y57" s="112">
        <f t="shared" si="22"/>
        <v>1.345643118831287</v>
      </c>
      <c r="Z57" s="112">
        <f t="shared" si="23"/>
        <v>1.753407376310975</v>
      </c>
      <c r="AA57" s="112">
        <f t="shared" si="24"/>
        <v>1.753407376310975</v>
      </c>
      <c r="AB57" s="112">
        <v>1.753407376310975</v>
      </c>
      <c r="AC57" s="216"/>
      <c r="AD57" s="133">
        <f t="shared" si="11"/>
        <v>0.99948255028028354</v>
      </c>
      <c r="AE57" s="133">
        <f t="shared" si="12"/>
        <v>0.99647611590103269</v>
      </c>
      <c r="AF57" s="133">
        <f t="shared" si="13"/>
        <v>0.99339394679521797</v>
      </c>
    </row>
    <row r="58" spans="1:32" x14ac:dyDescent="0.25">
      <c r="A58" s="39">
        <v>70</v>
      </c>
      <c r="B58" s="62">
        <f t="shared" si="27"/>
        <v>30.812206746314672</v>
      </c>
      <c r="C58" s="62">
        <f t="shared" si="34"/>
        <v>30.748251820683812</v>
      </c>
      <c r="D58" s="110">
        <f t="shared" si="2"/>
        <v>30.780229283499242</v>
      </c>
      <c r="E58" s="111">
        <f t="shared" si="14"/>
        <v>1.4082247792056095</v>
      </c>
      <c r="F58" s="111">
        <f t="shared" si="15"/>
        <v>1.3254292717753484</v>
      </c>
      <c r="G58" s="110">
        <f t="shared" si="3"/>
        <v>1.3668270254904789</v>
      </c>
      <c r="H58" s="111">
        <f t="shared" si="16"/>
        <v>1.7093281130106708</v>
      </c>
      <c r="I58" s="111">
        <f t="shared" si="17"/>
        <v>1.7093281130106708</v>
      </c>
      <c r="J58" s="111">
        <v>1.7093281130106708</v>
      </c>
      <c r="K58" s="64">
        <f t="shared" si="25"/>
        <v>30.431510251652938</v>
      </c>
      <c r="L58" s="64">
        <f t="shared" si="26"/>
        <v>30.279188415433019</v>
      </c>
      <c r="M58" s="64">
        <f t="shared" si="4"/>
        <v>30.355349333542978</v>
      </c>
      <c r="N58" s="67">
        <f t="shared" si="28"/>
        <v>1.4139558533624021</v>
      </c>
      <c r="O58" s="67">
        <f t="shared" si="29"/>
        <v>1.330418293811205</v>
      </c>
      <c r="P58" s="116">
        <f t="shared" si="5"/>
        <v>1.3721870735868036</v>
      </c>
      <c r="Q58" s="67">
        <f t="shared" si="30"/>
        <v>1.7427179972313287</v>
      </c>
      <c r="R58" s="67">
        <f t="shared" si="31"/>
        <v>1.7427179972313287</v>
      </c>
      <c r="S58" s="116">
        <f t="shared" si="8"/>
        <v>1.7427179972313287</v>
      </c>
      <c r="T58" s="65">
        <f t="shared" si="32"/>
        <v>30.050813756991207</v>
      </c>
      <c r="U58" s="65">
        <f t="shared" si="33"/>
        <v>29.810125010182226</v>
      </c>
      <c r="V58" s="113">
        <f t="shared" si="9"/>
        <v>29.930469383586718</v>
      </c>
      <c r="W58" s="112">
        <f t="shared" si="20"/>
        <v>1.419686927519195</v>
      </c>
      <c r="X58" s="112">
        <f t="shared" si="21"/>
        <v>1.3354073158470614</v>
      </c>
      <c r="Y58" s="112">
        <f t="shared" si="22"/>
        <v>1.3775471216831283</v>
      </c>
      <c r="Z58" s="112">
        <f t="shared" si="23"/>
        <v>1.7761078814519866</v>
      </c>
      <c r="AA58" s="112">
        <f t="shared" si="24"/>
        <v>1.7761078814519866</v>
      </c>
      <c r="AB58" s="112">
        <v>1.7761078814519866</v>
      </c>
      <c r="AC58" s="216"/>
      <c r="AD58" s="133">
        <f t="shared" si="11"/>
        <v>0.99792436399776818</v>
      </c>
      <c r="AE58" s="133">
        <f t="shared" si="12"/>
        <v>0.99499460148509566</v>
      </c>
      <c r="AF58" s="133">
        <f t="shared" si="13"/>
        <v>0.99199060801629757</v>
      </c>
    </row>
    <row r="59" spans="1:32" x14ac:dyDescent="0.25">
      <c r="A59" s="39">
        <v>71</v>
      </c>
      <c r="B59" s="62">
        <f t="shared" si="27"/>
        <v>31.64514058456303</v>
      </c>
      <c r="C59" s="62">
        <f t="shared" si="34"/>
        <v>31.531086159343111</v>
      </c>
      <c r="D59" s="110">
        <f t="shared" si="2"/>
        <v>31.588113371953071</v>
      </c>
      <c r="E59" s="111">
        <f t="shared" si="14"/>
        <v>1.4404889224892248</v>
      </c>
      <c r="F59" s="111">
        <f t="shared" si="15"/>
        <v>1.3538460573943685</v>
      </c>
      <c r="G59" s="110">
        <f t="shared" si="3"/>
        <v>1.3971674899417965</v>
      </c>
      <c r="H59" s="111">
        <f t="shared" si="16"/>
        <v>1.7294157787112376</v>
      </c>
      <c r="I59" s="111">
        <f t="shared" si="17"/>
        <v>1.7294157787112376</v>
      </c>
      <c r="J59" s="111">
        <v>1.7294157787112376</v>
      </c>
      <c r="K59" s="64">
        <f t="shared" si="25"/>
        <v>31.251981051196658</v>
      </c>
      <c r="L59" s="64">
        <f t="shared" si="26"/>
        <v>31.050194093146835</v>
      </c>
      <c r="M59" s="64">
        <f t="shared" si="4"/>
        <v>31.151087572171747</v>
      </c>
      <c r="N59" s="67">
        <f t="shared" si="28"/>
        <v>1.4469276652829779</v>
      </c>
      <c r="O59" s="67">
        <f t="shared" si="29"/>
        <v>1.359690216978402</v>
      </c>
      <c r="P59" s="116">
        <f t="shared" si="5"/>
        <v>1.4033089411306898</v>
      </c>
      <c r="Q59" s="67">
        <f t="shared" si="30"/>
        <v>1.7640596521205478</v>
      </c>
      <c r="R59" s="67">
        <f t="shared" si="31"/>
        <v>1.7640596521205478</v>
      </c>
      <c r="S59" s="116">
        <f t="shared" si="8"/>
        <v>1.7640596521205478</v>
      </c>
      <c r="T59" s="65">
        <f t="shared" si="32"/>
        <v>30.858821517830282</v>
      </c>
      <c r="U59" s="65">
        <f t="shared" si="33"/>
        <v>30.569302026950556</v>
      </c>
      <c r="V59" s="113">
        <f t="shared" si="9"/>
        <v>30.714061772390419</v>
      </c>
      <c r="W59" s="112">
        <f t="shared" si="20"/>
        <v>1.453366408076731</v>
      </c>
      <c r="X59" s="112">
        <f t="shared" si="21"/>
        <v>1.3655343765624355</v>
      </c>
      <c r="Y59" s="112">
        <f t="shared" si="22"/>
        <v>1.4094503923195831</v>
      </c>
      <c r="Z59" s="112">
        <f t="shared" si="23"/>
        <v>1.798703525529858</v>
      </c>
      <c r="AA59" s="112">
        <f t="shared" si="24"/>
        <v>1.798703525529858</v>
      </c>
      <c r="AB59" s="112">
        <v>1.798703525529858</v>
      </c>
      <c r="AC59" s="216"/>
      <c r="AD59" s="133">
        <f t="shared" si="11"/>
        <v>0.99639583129943321</v>
      </c>
      <c r="AE59" s="133">
        <f t="shared" si="12"/>
        <v>0.99354322666075923</v>
      </c>
      <c r="AF59" s="133">
        <f t="shared" si="13"/>
        <v>0.99061793430081435</v>
      </c>
    </row>
    <row r="60" spans="1:32" x14ac:dyDescent="0.25">
      <c r="A60" s="39">
        <v>72</v>
      </c>
      <c r="B60" s="62">
        <f t="shared" si="27"/>
        <v>32.486983478646565</v>
      </c>
      <c r="C60" s="62">
        <f t="shared" si="34"/>
        <v>32.321189120194425</v>
      </c>
      <c r="D60" s="110">
        <f t="shared" si="2"/>
        <v>32.404086299420499</v>
      </c>
      <c r="E60" s="111">
        <f t="shared" si="14"/>
        <v>1.4726741278107116</v>
      </c>
      <c r="F60" s="111">
        <f t="shared" si="15"/>
        <v>1.3821631054082546</v>
      </c>
      <c r="G60" s="110">
        <f t="shared" si="3"/>
        <v>1.4274186166094831</v>
      </c>
      <c r="H60" s="111">
        <f t="shared" si="16"/>
        <v>1.7493455586079718</v>
      </c>
      <c r="I60" s="111">
        <f t="shared" si="17"/>
        <v>1.7493455586079718</v>
      </c>
      <c r="J60" s="111">
        <v>1.7493455586079718</v>
      </c>
      <c r="K60" s="64">
        <f t="shared" si="25"/>
        <v>32.081160189228619</v>
      </c>
      <c r="L60" s="64">
        <f t="shared" si="26"/>
        <v>31.82841229265992</v>
      </c>
      <c r="M60" s="64">
        <f t="shared" si="4"/>
        <v>31.954786240944269</v>
      </c>
      <c r="N60" s="67">
        <f t="shared" si="28"/>
        <v>1.4798518942334333</v>
      </c>
      <c r="O60" s="67">
        <f t="shared" si="29"/>
        <v>1.3889009555393239</v>
      </c>
      <c r="P60" s="116">
        <f t="shared" si="5"/>
        <v>1.4343764248863786</v>
      </c>
      <c r="Q60" s="67">
        <f t="shared" si="30"/>
        <v>1.785267786742474</v>
      </c>
      <c r="R60" s="67">
        <f t="shared" si="31"/>
        <v>1.785267786742474</v>
      </c>
      <c r="S60" s="116">
        <f t="shared" si="8"/>
        <v>1.785267786742474</v>
      </c>
      <c r="T60" s="65">
        <f t="shared" si="32"/>
        <v>31.675336899810677</v>
      </c>
      <c r="U60" s="65">
        <f t="shared" si="33"/>
        <v>31.335635465125414</v>
      </c>
      <c r="V60" s="113">
        <f t="shared" si="9"/>
        <v>31.505486182468047</v>
      </c>
      <c r="W60" s="112">
        <f t="shared" si="20"/>
        <v>1.4870296606561551</v>
      </c>
      <c r="X60" s="112">
        <f t="shared" si="21"/>
        <v>1.3956388056703932</v>
      </c>
      <c r="Y60" s="112">
        <f t="shared" si="22"/>
        <v>1.4413342331632741</v>
      </c>
      <c r="Z60" s="112">
        <f t="shared" si="23"/>
        <v>1.8211900148769762</v>
      </c>
      <c r="AA60" s="112">
        <f t="shared" si="24"/>
        <v>1.8211900148769762</v>
      </c>
      <c r="AB60" s="112">
        <v>1.8211900148769762</v>
      </c>
      <c r="AC60" s="216"/>
      <c r="AD60" s="133">
        <f t="shared" si="11"/>
        <v>0.9948965911667017</v>
      </c>
      <c r="AE60" s="133">
        <f t="shared" si="12"/>
        <v>0.99212160984584463</v>
      </c>
      <c r="AF60" s="133">
        <f t="shared" si="13"/>
        <v>0.98927552260107787</v>
      </c>
    </row>
    <row r="61" spans="1:32" x14ac:dyDescent="0.25">
      <c r="A61" s="39">
        <v>73</v>
      </c>
      <c r="B61" s="62">
        <f t="shared" si="27"/>
        <v>33.337556021350082</v>
      </c>
      <c r="C61" s="62">
        <f t="shared" si="34"/>
        <v>33.118404094583823</v>
      </c>
      <c r="D61" s="110">
        <f t="shared" si="2"/>
        <v>33.227980057966953</v>
      </c>
      <c r="E61" s="111">
        <f t="shared" si="14"/>
        <v>1.5047591673265317</v>
      </c>
      <c r="F61" s="111">
        <f t="shared" si="15"/>
        <v>1.4103635854850078</v>
      </c>
      <c r="G61" s="110">
        <f t="shared" si="3"/>
        <v>1.4575613764057698</v>
      </c>
      <c r="H61" s="111">
        <f t="shared" si="16"/>
        <v>1.769113264041775</v>
      </c>
      <c r="I61" s="111">
        <f t="shared" si="17"/>
        <v>1.769113264041775</v>
      </c>
      <c r="J61" s="111">
        <v>1.769113264041775</v>
      </c>
      <c r="K61" s="64">
        <f t="shared" si="25"/>
        <v>32.918869523567366</v>
      </c>
      <c r="L61" s="64">
        <f t="shared" si="26"/>
        <v>32.613690623972644</v>
      </c>
      <c r="M61" s="64">
        <f t="shared" si="4"/>
        <v>32.766280073770005</v>
      </c>
      <c r="N61" s="67">
        <f t="shared" si="28"/>
        <v>1.5127076534560655</v>
      </c>
      <c r="O61" s="67">
        <f t="shared" si="29"/>
        <v>1.4180340140128926</v>
      </c>
      <c r="P61" s="116">
        <f t="shared" si="5"/>
        <v>1.4653708337344791</v>
      </c>
      <c r="Q61" s="67">
        <f t="shared" si="30"/>
        <v>1.8063383387543892</v>
      </c>
      <c r="R61" s="67">
        <f t="shared" si="31"/>
        <v>1.8063383387543892</v>
      </c>
      <c r="S61" s="116">
        <f t="shared" si="8"/>
        <v>1.8063383387543892</v>
      </c>
      <c r="T61" s="65">
        <f t="shared" si="32"/>
        <v>32.500183025784644</v>
      </c>
      <c r="U61" s="65">
        <f t="shared" si="33"/>
        <v>32.108977153361458</v>
      </c>
      <c r="V61" s="113">
        <f t="shared" si="9"/>
        <v>32.304580089573051</v>
      </c>
      <c r="W61" s="112">
        <f t="shared" si="20"/>
        <v>1.5206561395855995</v>
      </c>
      <c r="X61" s="112">
        <f t="shared" si="21"/>
        <v>1.4257044425407774</v>
      </c>
      <c r="Y61" s="112">
        <f t="shared" si="22"/>
        <v>1.4731802910631884</v>
      </c>
      <c r="Z61" s="112">
        <f t="shared" si="23"/>
        <v>1.8435634134670036</v>
      </c>
      <c r="AA61" s="112">
        <f t="shared" si="24"/>
        <v>1.8435634134670036</v>
      </c>
      <c r="AB61" s="112">
        <v>1.8435634134670036</v>
      </c>
      <c r="AC61" s="216"/>
      <c r="AD61" s="133">
        <f t="shared" si="11"/>
        <v>0.99342627496071068</v>
      </c>
      <c r="AE61" s="133">
        <f t="shared" si="12"/>
        <v>0.99072936270256073</v>
      </c>
      <c r="AF61" s="133">
        <f t="shared" si="13"/>
        <v>0.98796296402045447</v>
      </c>
    </row>
    <row r="62" spans="1:32" x14ac:dyDescent="0.25">
      <c r="A62" s="39">
        <v>74</v>
      </c>
      <c r="B62" s="62">
        <f t="shared" si="27"/>
        <v>34.196677340752515</v>
      </c>
      <c r="C62" s="62">
        <f t="shared" si="34"/>
        <v>33.922574151291435</v>
      </c>
      <c r="D62" s="110">
        <f t="shared" si="2"/>
        <v>34.059625746021979</v>
      </c>
      <c r="E62" s="111">
        <f t="shared" si="14"/>
        <v>1.5367233087786663</v>
      </c>
      <c r="F62" s="111">
        <f t="shared" si="15"/>
        <v>1.4384311533835612</v>
      </c>
      <c r="G62" s="110">
        <f t="shared" si="3"/>
        <v>1.4875772310811137</v>
      </c>
      <c r="H62" s="111">
        <f t="shared" si="16"/>
        <v>1.7887151372841528</v>
      </c>
      <c r="I62" s="111">
        <f t="shared" si="17"/>
        <v>1.7887151372841528</v>
      </c>
      <c r="J62" s="111">
        <v>1.7887151372841528</v>
      </c>
      <c r="K62" s="64">
        <f t="shared" si="25"/>
        <v>33.764929515029181</v>
      </c>
      <c r="L62" s="64">
        <f t="shared" si="26"/>
        <v>33.405876353060151</v>
      </c>
      <c r="M62" s="64">
        <f t="shared" si="4"/>
        <v>33.585402934044666</v>
      </c>
      <c r="N62" s="67">
        <f t="shared" si="28"/>
        <v>1.5454744949388779</v>
      </c>
      <c r="O62" s="67">
        <f t="shared" si="29"/>
        <v>1.4470733198628674</v>
      </c>
      <c r="P62" s="116">
        <f t="shared" si="5"/>
        <v>1.4962739074008726</v>
      </c>
      <c r="Q62" s="67">
        <f t="shared" si="30"/>
        <v>1.8272676375065087</v>
      </c>
      <c r="R62" s="67">
        <f t="shared" si="31"/>
        <v>1.8272676375065087</v>
      </c>
      <c r="S62" s="116">
        <f t="shared" si="8"/>
        <v>1.8272676375065087</v>
      </c>
      <c r="T62" s="65">
        <f t="shared" si="32"/>
        <v>33.333181689305846</v>
      </c>
      <c r="U62" s="65">
        <f t="shared" si="33"/>
        <v>32.889178554828867</v>
      </c>
      <c r="V62" s="113">
        <f t="shared" si="9"/>
        <v>33.111180122067353</v>
      </c>
      <c r="W62" s="112">
        <f t="shared" si="20"/>
        <v>1.5542256810990898</v>
      </c>
      <c r="X62" s="112">
        <f t="shared" si="21"/>
        <v>1.4557154863421735</v>
      </c>
      <c r="Y62" s="112">
        <f t="shared" si="22"/>
        <v>1.5049705837206315</v>
      </c>
      <c r="Z62" s="112">
        <f t="shared" si="23"/>
        <v>1.8658201377288646</v>
      </c>
      <c r="AA62" s="112">
        <f t="shared" si="24"/>
        <v>1.8658201377288646</v>
      </c>
      <c r="AB62" s="112">
        <v>1.8658201377288646</v>
      </c>
      <c r="AC62" s="216"/>
      <c r="AD62" s="133">
        <f t="shared" si="11"/>
        <v>0.99198450812253536</v>
      </c>
      <c r="AE62" s="133">
        <f t="shared" si="12"/>
        <v>0.98936609176662993</v>
      </c>
      <c r="AF62" s="133">
        <f t="shared" si="13"/>
        <v>0.98667984536803377</v>
      </c>
    </row>
    <row r="63" spans="1:32" x14ac:dyDescent="0.25">
      <c r="A63" s="39">
        <v>75</v>
      </c>
      <c r="B63" s="62">
        <f t="shared" si="27"/>
        <v>35.064165224870735</v>
      </c>
      <c r="C63" s="62">
        <f t="shared" si="34"/>
        <v>34.733542113330991</v>
      </c>
      <c r="D63" s="110">
        <f t="shared" si="2"/>
        <v>34.898853669100859</v>
      </c>
      <c r="E63" s="111">
        <f t="shared" si="14"/>
        <v>1.5685463502796575</v>
      </c>
      <c r="F63" s="111">
        <f t="shared" si="15"/>
        <v>1.4663499748401392</v>
      </c>
      <c r="G63" s="110">
        <f t="shared" si="3"/>
        <v>1.5174481625598983</v>
      </c>
      <c r="H63" s="111">
        <f t="shared" si="16"/>
        <v>1.8081478473604822</v>
      </c>
      <c r="I63" s="111">
        <f t="shared" si="17"/>
        <v>1.8081478473604822</v>
      </c>
      <c r="J63" s="111">
        <v>1.8081478473604822</v>
      </c>
      <c r="K63" s="64">
        <f t="shared" si="25"/>
        <v>34.619159351111634</v>
      </c>
      <c r="L63" s="64">
        <f t="shared" si="26"/>
        <v>34.204816475939374</v>
      </c>
      <c r="M63" s="64">
        <f t="shared" si="4"/>
        <v>34.411987913525508</v>
      </c>
      <c r="N63" s="67">
        <f t="shared" si="28"/>
        <v>1.5781324416674902</v>
      </c>
      <c r="O63" s="67">
        <f t="shared" si="29"/>
        <v>1.4760032454590899</v>
      </c>
      <c r="P63" s="116">
        <f t="shared" si="5"/>
        <v>1.5270678435632901</v>
      </c>
      <c r="Q63" s="67">
        <f t="shared" si="30"/>
        <v>1.8480523993096556</v>
      </c>
      <c r="R63" s="67">
        <f t="shared" si="31"/>
        <v>1.8480523993096556</v>
      </c>
      <c r="S63" s="116">
        <f t="shared" si="8"/>
        <v>1.8480523993096556</v>
      </c>
      <c r="T63" s="65">
        <f t="shared" si="32"/>
        <v>34.17415347735254</v>
      </c>
      <c r="U63" s="65">
        <f t="shared" si="33"/>
        <v>33.676090838547758</v>
      </c>
      <c r="V63" s="113">
        <f t="shared" si="9"/>
        <v>33.925122157950149</v>
      </c>
      <c r="W63" s="112">
        <f t="shared" si="20"/>
        <v>1.587718533055323</v>
      </c>
      <c r="X63" s="112">
        <f t="shared" si="21"/>
        <v>1.4856565160780404</v>
      </c>
      <c r="Y63" s="112">
        <f t="shared" si="22"/>
        <v>1.5366875245666818</v>
      </c>
      <c r="Z63" s="112">
        <f t="shared" si="23"/>
        <v>1.887956951258829</v>
      </c>
      <c r="AA63" s="112">
        <f t="shared" si="24"/>
        <v>1.887956951258829</v>
      </c>
      <c r="AB63" s="112">
        <v>1.887956951258829</v>
      </c>
      <c r="AC63" s="216"/>
      <c r="AD63" s="133">
        <f t="shared" si="11"/>
        <v>0.99057091165811539</v>
      </c>
      <c r="AE63" s="133">
        <f t="shared" si="12"/>
        <v>0.98803139986820754</v>
      </c>
      <c r="AF63" s="133">
        <f t="shared" si="13"/>
        <v>0.98542575051244941</v>
      </c>
    </row>
    <row r="64" spans="1:32" x14ac:dyDescent="0.25">
      <c r="A64" s="39">
        <v>76</v>
      </c>
      <c r="B64" s="62">
        <f t="shared" si="27"/>
        <v>35.939836245105859</v>
      </c>
      <c r="C64" s="62">
        <f t="shared" si="34"/>
        <v>35.551150633506566</v>
      </c>
      <c r="D64" s="110">
        <f t="shared" si="2"/>
        <v>35.745493439306216</v>
      </c>
      <c r="E64" s="111">
        <f t="shared" si="14"/>
        <v>1.6002086527226114</v>
      </c>
      <c r="F64" s="111">
        <f t="shared" si="15"/>
        <v>1.4941047474351556</v>
      </c>
      <c r="G64" s="110">
        <f t="shared" si="3"/>
        <v>1.5471567000788835</v>
      </c>
      <c r="H64" s="111">
        <f t="shared" si="16"/>
        <v>1.8274084853155734</v>
      </c>
      <c r="I64" s="111">
        <f t="shared" si="17"/>
        <v>1.8274084853155734</v>
      </c>
      <c r="J64" s="111">
        <v>1.8274084853155734</v>
      </c>
      <c r="K64" s="64">
        <f t="shared" si="25"/>
        <v>35.481377068432707</v>
      </c>
      <c r="L64" s="64">
        <f t="shared" si="26"/>
        <v>35.010357791571494</v>
      </c>
      <c r="M64" s="64">
        <f t="shared" si="4"/>
        <v>35.2458674300021</v>
      </c>
      <c r="N64" s="67">
        <f t="shared" si="28"/>
        <v>1.6106620178018831</v>
      </c>
      <c r="O64" s="67">
        <f t="shared" si="29"/>
        <v>1.504808628321201</v>
      </c>
      <c r="P64" s="116">
        <f t="shared" si="5"/>
        <v>1.5577353230615421</v>
      </c>
      <c r="Q64" s="67">
        <f t="shared" si="30"/>
        <v>1.8686897223528525</v>
      </c>
      <c r="R64" s="67">
        <f t="shared" si="31"/>
        <v>1.8686897223528525</v>
      </c>
      <c r="S64" s="116">
        <f t="shared" si="8"/>
        <v>1.8686897223528525</v>
      </c>
      <c r="T64" s="65">
        <f t="shared" si="32"/>
        <v>35.022917891759548</v>
      </c>
      <c r="U64" s="65">
        <f t="shared" si="33"/>
        <v>34.469564949636421</v>
      </c>
      <c r="V64" s="113">
        <f t="shared" si="9"/>
        <v>34.746241420697984</v>
      </c>
      <c r="W64" s="112">
        <f t="shared" si="20"/>
        <v>1.6211153828811551</v>
      </c>
      <c r="X64" s="112">
        <f t="shared" si="21"/>
        <v>1.5155125092072461</v>
      </c>
      <c r="Y64" s="112">
        <f t="shared" si="22"/>
        <v>1.5683139460442006</v>
      </c>
      <c r="Z64" s="112">
        <f t="shared" si="23"/>
        <v>1.9099709593901313</v>
      </c>
      <c r="AA64" s="112">
        <f t="shared" si="24"/>
        <v>1.9099709593901313</v>
      </c>
      <c r="AB64" s="112">
        <v>1.9099709593901313</v>
      </c>
      <c r="AC64" s="216"/>
      <c r="AD64" s="133">
        <f t="shared" si="11"/>
        <v>0.98918510343373578</v>
      </c>
      <c r="AE64" s="133">
        <f t="shared" si="12"/>
        <v>0.98672488736971053</v>
      </c>
      <c r="AF64" s="133">
        <f t="shared" si="13"/>
        <v>0.98420026155920826</v>
      </c>
    </row>
    <row r="65" spans="1:32" x14ac:dyDescent="0.25">
      <c r="A65" s="39">
        <v>77</v>
      </c>
      <c r="B65" s="62">
        <f t="shared" si="27"/>
        <v>36.823505878400574</v>
      </c>
      <c r="C65" s="62">
        <f t="shared" si="34"/>
        <v>36.375242268689718</v>
      </c>
      <c r="D65" s="110">
        <f t="shared" si="2"/>
        <v>36.59937407354515</v>
      </c>
      <c r="E65" s="111">
        <f t="shared" si="14"/>
        <v>1.6316911697399494</v>
      </c>
      <c r="F65" s="111">
        <f t="shared" si="15"/>
        <v>1.521680720397055</v>
      </c>
      <c r="G65" s="110">
        <f t="shared" si="3"/>
        <v>1.5766859450685022</v>
      </c>
      <c r="H65" s="111">
        <f t="shared" si="16"/>
        <v>1.8464945588955852</v>
      </c>
      <c r="I65" s="111">
        <f t="shared" si="17"/>
        <v>1.8464945588955852</v>
      </c>
      <c r="J65" s="111">
        <v>1.8464945588955852</v>
      </c>
      <c r="K65" s="64">
        <f t="shared" si="25"/>
        <v>36.351399673834905</v>
      </c>
      <c r="L65" s="64">
        <f t="shared" si="26"/>
        <v>35.822346973564237</v>
      </c>
      <c r="M65" s="64">
        <f t="shared" si="4"/>
        <v>36.086873323699571</v>
      </c>
      <c r="N65" s="67">
        <f t="shared" si="28"/>
        <v>1.6430442767156372</v>
      </c>
      <c r="O65" s="67">
        <f t="shared" si="29"/>
        <v>1.5334747896086849</v>
      </c>
      <c r="P65" s="116">
        <f t="shared" si="5"/>
        <v>1.588259533162161</v>
      </c>
      <c r="Q65" s="67">
        <f t="shared" si="30"/>
        <v>1.8891770812423851</v>
      </c>
      <c r="R65" s="67">
        <f t="shared" si="31"/>
        <v>1.8891770812423851</v>
      </c>
      <c r="S65" s="116">
        <f t="shared" si="8"/>
        <v>1.8891770812423851</v>
      </c>
      <c r="T65" s="65">
        <f t="shared" si="32"/>
        <v>35.879293469269236</v>
      </c>
      <c r="U65" s="65">
        <f t="shared" si="33"/>
        <v>35.269451678438749</v>
      </c>
      <c r="V65" s="113">
        <f t="shared" si="9"/>
        <v>35.574372573853992</v>
      </c>
      <c r="W65" s="112">
        <f t="shared" si="20"/>
        <v>1.6543973836913253</v>
      </c>
      <c r="X65" s="112">
        <f t="shared" si="21"/>
        <v>1.5452688588203147</v>
      </c>
      <c r="Y65" s="112">
        <f t="shared" si="22"/>
        <v>1.5998331212558199</v>
      </c>
      <c r="Z65" s="112">
        <f t="shared" si="23"/>
        <v>1.9318596035891851</v>
      </c>
      <c r="AA65" s="112">
        <f t="shared" si="24"/>
        <v>1.9318596035891851</v>
      </c>
      <c r="AB65" s="112">
        <v>1.9318596035891851</v>
      </c>
      <c r="AC65" s="30"/>
      <c r="AD65" s="133">
        <f t="shared" si="11"/>
        <v>0.98782669930475597</v>
      </c>
      <c r="AE65" s="133">
        <f t="shared" si="12"/>
        <v>0.98544615324258145</v>
      </c>
      <c r="AF65" s="133">
        <f t="shared" si="13"/>
        <v>0.98300295987286324</v>
      </c>
    </row>
    <row r="66" spans="1:32" x14ac:dyDescent="0.25">
      <c r="A66" s="39">
        <v>78</v>
      </c>
      <c r="B66" s="62">
        <f t="shared" si="27"/>
        <v>37.714988628017338</v>
      </c>
      <c r="C66" s="62">
        <f t="shared" si="34"/>
        <v>37.205659552782151</v>
      </c>
      <c r="D66" s="110">
        <f t="shared" si="2"/>
        <v>37.460324090399745</v>
      </c>
      <c r="E66" s="111">
        <f t="shared" si="14"/>
        <v>1.6629754751477179</v>
      </c>
      <c r="F66" s="111">
        <f t="shared" si="15"/>
        <v>1.5490637123131665</v>
      </c>
      <c r="G66" s="110">
        <f t="shared" si="3"/>
        <v>1.6060195937304422</v>
      </c>
      <c r="H66" s="111">
        <f t="shared" si="16"/>
        <v>1.865403986630823</v>
      </c>
      <c r="I66" s="111">
        <f t="shared" si="17"/>
        <v>1.865403986630823</v>
      </c>
      <c r="J66" s="111">
        <v>1.865403986630823</v>
      </c>
      <c r="K66" s="64">
        <f t="shared" si="25"/>
        <v>37.229043264065233</v>
      </c>
      <c r="L66" s="64">
        <f t="shared" si="26"/>
        <v>36.640630640640545</v>
      </c>
      <c r="M66" s="64">
        <f t="shared" si="4"/>
        <v>36.934836952352889</v>
      </c>
      <c r="N66" s="67">
        <f t="shared" si="28"/>
        <v>1.6752608268444589</v>
      </c>
      <c r="O66" s="67">
        <f t="shared" si="29"/>
        <v>1.5619875508332211</v>
      </c>
      <c r="P66" s="116">
        <f t="shared" si="5"/>
        <v>1.61862418883884</v>
      </c>
      <c r="Q66" s="67">
        <f t="shared" si="30"/>
        <v>1.9095123211419049</v>
      </c>
      <c r="R66" s="67">
        <f t="shared" si="31"/>
        <v>1.9095123211419049</v>
      </c>
      <c r="S66" s="116">
        <f t="shared" si="8"/>
        <v>1.9095123211419049</v>
      </c>
      <c r="T66" s="65">
        <f t="shared" si="32"/>
        <v>36.743097900113128</v>
      </c>
      <c r="U66" s="65">
        <f t="shared" si="33"/>
        <v>36.075601728498938</v>
      </c>
      <c r="V66" s="113">
        <f t="shared" si="9"/>
        <v>36.409349814306033</v>
      </c>
      <c r="W66" s="112">
        <f t="shared" si="20"/>
        <v>1.6875461785411998</v>
      </c>
      <c r="X66" s="112">
        <f t="shared" si="21"/>
        <v>1.5749113893532756</v>
      </c>
      <c r="Y66" s="112">
        <f t="shared" si="22"/>
        <v>1.6312287839472377</v>
      </c>
      <c r="Z66" s="112">
        <f t="shared" si="23"/>
        <v>1.9536206556529869</v>
      </c>
      <c r="AA66" s="112">
        <f t="shared" si="24"/>
        <v>1.9536206556529869</v>
      </c>
      <c r="AB66" s="112">
        <v>1.9536206556529869</v>
      </c>
      <c r="AC66" s="216"/>
      <c r="AD66" s="133">
        <f t="shared" si="11"/>
        <v>0.98649531409756752</v>
      </c>
      <c r="AE66" s="133">
        <f t="shared" si="12"/>
        <v>0.98419479600238224</v>
      </c>
      <c r="AF66" s="133">
        <f t="shared" si="13"/>
        <v>0.98183342696283282</v>
      </c>
    </row>
    <row r="67" spans="1:32" s="151" customFormat="1" x14ac:dyDescent="0.25">
      <c r="A67" s="202">
        <v>79</v>
      </c>
      <c r="B67" s="203">
        <f t="shared" si="27"/>
        <v>38.614098142850438</v>
      </c>
      <c r="C67" s="203">
        <f t="shared" si="34"/>
        <v>38.042245068331006</v>
      </c>
      <c r="D67" s="110">
        <f t="shared" si="2"/>
        <v>38.328171605590725</v>
      </c>
      <c r="E67" s="111">
        <f t="shared" si="14"/>
        <v>1.694043787828571</v>
      </c>
      <c r="F67" s="111">
        <f t="shared" si="15"/>
        <v>1.5762401267280264</v>
      </c>
      <c r="G67" s="110">
        <f t="shared" si="3"/>
        <v>1.6351419572782988</v>
      </c>
      <c r="H67" s="111">
        <f t="shared" si="16"/>
        <v>1.8841350913109105</v>
      </c>
      <c r="I67" s="111">
        <f t="shared" si="17"/>
        <v>1.8841350913109105</v>
      </c>
      <c r="J67" s="111">
        <v>1.8841350913109105</v>
      </c>
      <c r="K67" s="204">
        <f t="shared" si="25"/>
        <v>38.114123143944781</v>
      </c>
      <c r="L67" s="204">
        <f t="shared" si="26"/>
        <v>37.465055425841626</v>
      </c>
      <c r="M67" s="204">
        <f t="shared" si="4"/>
        <v>37.789589284893204</v>
      </c>
      <c r="N67" s="205">
        <f t="shared" si="28"/>
        <v>1.7072938553054557</v>
      </c>
      <c r="O67" s="205">
        <f t="shared" si="29"/>
        <v>1.5903332487762527</v>
      </c>
      <c r="P67" s="206">
        <f t="shared" si="5"/>
        <v>1.6488135520408542</v>
      </c>
      <c r="Q67" s="205">
        <f t="shared" si="30"/>
        <v>1.9296936514999592</v>
      </c>
      <c r="R67" s="205">
        <f t="shared" si="31"/>
        <v>1.9296936514999592</v>
      </c>
      <c r="S67" s="206">
        <f t="shared" si="8"/>
        <v>1.9296936514999592</v>
      </c>
      <c r="T67" s="65">
        <f t="shared" si="32"/>
        <v>37.614148145039131</v>
      </c>
      <c r="U67" s="65">
        <f t="shared" si="33"/>
        <v>36.887865783352247</v>
      </c>
      <c r="V67" s="113">
        <f t="shared" si="9"/>
        <v>37.251006964195689</v>
      </c>
      <c r="W67" s="112">
        <f t="shared" si="20"/>
        <v>1.7205439227823403</v>
      </c>
      <c r="X67" s="112">
        <f t="shared" si="21"/>
        <v>1.6044263708244793</v>
      </c>
      <c r="Y67" s="112">
        <f t="shared" si="22"/>
        <v>1.6624851468034096</v>
      </c>
      <c r="Z67" s="112">
        <f t="shared" si="23"/>
        <v>1.9752522116890081</v>
      </c>
      <c r="AA67" s="112">
        <f t="shared" si="24"/>
        <v>1.9752522116890081</v>
      </c>
      <c r="AB67" s="112">
        <v>1.9752522116890081</v>
      </c>
      <c r="AD67" s="207">
        <f t="shared" si="11"/>
        <v>0.98519056246234482</v>
      </c>
      <c r="AE67" s="207">
        <f t="shared" si="12"/>
        <v>0.9829704145192627</v>
      </c>
      <c r="AF67" s="207">
        <f t="shared" si="13"/>
        <v>0.9806912452493578</v>
      </c>
    </row>
    <row r="68" spans="1:32" s="151" customFormat="1" x14ac:dyDescent="0.25">
      <c r="A68" s="202">
        <v>80</v>
      </c>
      <c r="B68" s="203">
        <f t="shared" si="27"/>
        <v>39.520647335186915</v>
      </c>
      <c r="C68" s="203">
        <f t="shared" si="34"/>
        <v>38.884841516765192</v>
      </c>
      <c r="D68" s="110">
        <f t="shared" si="2"/>
        <v>39.20274442597605</v>
      </c>
      <c r="E68" s="111">
        <f t="shared" si="14"/>
        <v>1.7248789940207381</v>
      </c>
      <c r="F68" s="111">
        <f t="shared" si="15"/>
        <v>1.6031969656216583</v>
      </c>
      <c r="G68" s="110">
        <f t="shared" si="3"/>
        <v>1.6640379798211982</v>
      </c>
      <c r="H68" s="111">
        <f t="shared" si="16"/>
        <v>1.9026865928534487</v>
      </c>
      <c r="I68" s="111">
        <f t="shared" si="17"/>
        <v>1.9026865928534487</v>
      </c>
      <c r="J68" s="111">
        <v>1.9026865928534487</v>
      </c>
      <c r="K68" s="204">
        <f t="shared" si="25"/>
        <v>39.006453942944383</v>
      </c>
      <c r="L68" s="204">
        <f t="shared" si="26"/>
        <v>38.295468044433946</v>
      </c>
      <c r="M68" s="204">
        <f t="shared" si="4"/>
        <v>38.650960993689168</v>
      </c>
      <c r="N68" s="205">
        <f t="shared" si="28"/>
        <v>1.7391261492591363</v>
      </c>
      <c r="O68" s="205">
        <f t="shared" si="29"/>
        <v>1.6184987486051798</v>
      </c>
      <c r="P68" s="206">
        <f t="shared" si="5"/>
        <v>1.6788124489321581</v>
      </c>
      <c r="Q68" s="205">
        <f t="shared" si="30"/>
        <v>1.9497196393587253</v>
      </c>
      <c r="R68" s="205">
        <f t="shared" si="31"/>
        <v>1.9497196393587253</v>
      </c>
      <c r="S68" s="206">
        <f t="shared" si="8"/>
        <v>1.9497196393587253</v>
      </c>
      <c r="T68" s="65">
        <f t="shared" si="32"/>
        <v>38.49226055070185</v>
      </c>
      <c r="U68" s="65">
        <f t="shared" si="33"/>
        <v>37.706094572102693</v>
      </c>
      <c r="V68" s="113">
        <f t="shared" si="9"/>
        <v>38.099177561402271</v>
      </c>
      <c r="W68" s="112">
        <f t="shared" si="20"/>
        <v>1.7533733044975346</v>
      </c>
      <c r="X68" s="112">
        <f t="shared" si="21"/>
        <v>1.6338005315887016</v>
      </c>
      <c r="Y68" s="112">
        <f t="shared" si="22"/>
        <v>1.6935869180431182</v>
      </c>
      <c r="Z68" s="112">
        <f t="shared" si="23"/>
        <v>1.9967526858640019</v>
      </c>
      <c r="AA68" s="112">
        <f t="shared" si="24"/>
        <v>1.9967526858640019</v>
      </c>
      <c r="AB68" s="112">
        <v>1.9967526858640019</v>
      </c>
      <c r="AD68" s="207">
        <f t="shared" si="11"/>
        <v>0.98391205961204897</v>
      </c>
      <c r="AE68" s="207">
        <f t="shared" si="12"/>
        <v>0.98177260871879279</v>
      </c>
      <c r="AF68" s="207">
        <f t="shared" si="13"/>
        <v>0.97957599872411694</v>
      </c>
    </row>
    <row r="69" spans="1:32" s="151" customFormat="1" x14ac:dyDescent="0.25">
      <c r="A69" s="202">
        <v>81</v>
      </c>
      <c r="B69" s="203">
        <f t="shared" si="27"/>
        <v>40.434448496834129</v>
      </c>
      <c r="C69" s="203">
        <f t="shared" si="34"/>
        <v>39.733291787224061</v>
      </c>
      <c r="D69" s="110">
        <f t="shared" si="2"/>
        <v>40.083870142029099</v>
      </c>
      <c r="E69" s="111">
        <f>3.2313 * (1-EXP(-(EXP(-5.0762)*($B68^1.3183))))</f>
        <v>1.7725339334783821</v>
      </c>
      <c r="F69" s="111">
        <f>3.2426 * (1-EXP(-(EXP(-3.7041)*($C68^0.91))))</f>
        <v>1.6140732903730957</v>
      </c>
      <c r="G69" s="110">
        <f>AVERAGE(E69:F69)</f>
        <v>1.6933036119257387</v>
      </c>
      <c r="H69" s="208">
        <f>E69/(B69-B68)</f>
        <v>1.9397370104927638</v>
      </c>
      <c r="I69" s="208">
        <f t="shared" ref="I69:I72" si="35">F69/(C69-C68)</f>
        <v>1.9023781906512363</v>
      </c>
      <c r="J69" s="111">
        <f>AVERAGE(H69:I69)</f>
        <v>1.9210576005719999</v>
      </c>
      <c r="K69" s="204">
        <f t="shared" si="25"/>
        <v>39.905849730085265</v>
      </c>
      <c r="L69" s="204">
        <f t="shared" si="26"/>
        <v>39.131715360491967</v>
      </c>
      <c r="M69" s="204">
        <f t="shared" si="4"/>
        <v>39.518782545288616</v>
      </c>
      <c r="N69" s="205">
        <f t="shared" si="28"/>
        <v>1.7792757482402428</v>
      </c>
      <c r="O69" s="205">
        <f t="shared" si="29"/>
        <v>1.6385471799906997</v>
      </c>
      <c r="P69" s="206">
        <f t="shared" si="5"/>
        <v>1.7089114641154712</v>
      </c>
      <c r="Q69" s="205">
        <f t="shared" si="30"/>
        <v>1.9789289072033234</v>
      </c>
      <c r="R69" s="205">
        <f t="shared" si="31"/>
        <v>1.9602494972825595</v>
      </c>
      <c r="S69" s="206">
        <f t="shared" si="8"/>
        <v>1.9695892022429415</v>
      </c>
      <c r="T69" s="65">
        <f t="shared" si="32"/>
        <v>39.377250963336394</v>
      </c>
      <c r="U69" s="65">
        <f t="shared" si="33"/>
        <v>38.530138933759879</v>
      </c>
      <c r="V69" s="113">
        <f t="shared" si="9"/>
        <v>38.953694948548133</v>
      </c>
      <c r="W69" s="112">
        <f t="shared" si="20"/>
        <v>1.7860175630021038</v>
      </c>
      <c r="X69" s="112">
        <f t="shared" si="21"/>
        <v>1.6630210696083039</v>
      </c>
      <c r="Y69" s="112">
        <f t="shared" si="22"/>
        <v>1.7245193163052037</v>
      </c>
      <c r="Z69" s="112">
        <f t="shared" si="23"/>
        <v>2.0181208039138827</v>
      </c>
      <c r="AA69" s="112">
        <f t="shared" si="24"/>
        <v>2.0181208039138827</v>
      </c>
      <c r="AB69" s="112">
        <v>2.0181208039138827</v>
      </c>
      <c r="AD69" s="207">
        <f t="shared" si="11"/>
        <v>0.98265942196132672</v>
      </c>
      <c r="AE69" s="207">
        <f t="shared" si="12"/>
        <v>0.9806009801863792</v>
      </c>
      <c r="AF69" s="207">
        <f t="shared" si="13"/>
        <v>0.97848727351827458</v>
      </c>
    </row>
    <row r="70" spans="1:32" s="151" customFormat="1" x14ac:dyDescent="0.25">
      <c r="A70" s="202">
        <v>82</v>
      </c>
      <c r="B70" s="203">
        <f t="shared" si="27"/>
        <v>41.355313413535157</v>
      </c>
      <c r="C70" s="203">
        <f t="shared" si="34"/>
        <v>40.587439023950331</v>
      </c>
      <c r="D70" s="110">
        <f t="shared" si="2"/>
        <v>40.971376218742748</v>
      </c>
      <c r="E70" s="111">
        <f t="shared" ref="E70:E133" si="36">3.2313 * (1-EXP(-(EXP(-5.0762)*($B69^1.3183))))</f>
        <v>1.8075985697066859</v>
      </c>
      <c r="F70" s="111">
        <f t="shared" ref="F70:F133" si="37">3.2426 * (1-EXP(-(EXP(-3.7041)*($C69^0.91))))</f>
        <v>1.6361699085366401</v>
      </c>
      <c r="G70" s="110">
        <f t="shared" si="3"/>
        <v>1.7218842391216631</v>
      </c>
      <c r="H70" s="208">
        <f t="shared" ref="H70:H72" si="38">E70/(B70-B69)</f>
        <v>1.9629356455258995</v>
      </c>
      <c r="I70" s="208">
        <f>F70/(C70-C69)</f>
        <v>1.9155595641890326</v>
      </c>
      <c r="J70" s="111">
        <f>AVERAGE(H70:I70)</f>
        <v>1.9392476048574661</v>
      </c>
      <c r="K70" s="204">
        <f t="shared" si="25"/>
        <v>40.812124127087245</v>
      </c>
      <c r="L70" s="204">
        <f t="shared" si="26"/>
        <v>39.973644452129633</v>
      </c>
      <c r="M70" s="204">
        <f t="shared" si="4"/>
        <v>40.392884289608439</v>
      </c>
      <c r="N70" s="205">
        <f t="shared" si="28"/>
        <v>1.8130295375567433</v>
      </c>
      <c r="O70" s="205">
        <f t="shared" si="29"/>
        <v>1.6641227853922742</v>
      </c>
      <c r="P70" s="206">
        <f t="shared" si="5"/>
        <v>1.7385761614745088</v>
      </c>
      <c r="Q70" s="205">
        <f t="shared" si="30"/>
        <v>2.0011456209682219</v>
      </c>
      <c r="R70" s="205">
        <f t="shared" si="31"/>
        <v>1.9774575802997885</v>
      </c>
      <c r="S70" s="206">
        <f t="shared" si="8"/>
        <v>1.9893016006340052</v>
      </c>
      <c r="T70" s="65">
        <f t="shared" si="32"/>
        <v>40.268934840639332</v>
      </c>
      <c r="U70" s="65">
        <f t="shared" si="33"/>
        <v>39.359849880308936</v>
      </c>
      <c r="V70" s="113">
        <f t="shared" si="9"/>
        <v>39.81439236047413</v>
      </c>
      <c r="W70" s="112">
        <f t="shared" si="20"/>
        <v>1.8184605054068006</v>
      </c>
      <c r="X70" s="112">
        <f t="shared" si="21"/>
        <v>1.6920756622479083</v>
      </c>
      <c r="Y70" s="112">
        <f t="shared" si="22"/>
        <v>1.7552680838273544</v>
      </c>
      <c r="Z70" s="112">
        <f t="shared" si="23"/>
        <v>2.0393555964105445</v>
      </c>
      <c r="AA70" s="112">
        <f t="shared" si="24"/>
        <v>2.0393555964105445</v>
      </c>
      <c r="AB70" s="112">
        <v>2.0393555964105445</v>
      </c>
      <c r="AD70" s="207">
        <f t="shared" si="11"/>
        <v>0.98143226767727731</v>
      </c>
      <c r="AE70" s="207">
        <f t="shared" si="12"/>
        <v>0.97945513268687945</v>
      </c>
      <c r="AF70" s="207">
        <f t="shared" si="13"/>
        <v>0.97742465838920201</v>
      </c>
    </row>
    <row r="71" spans="1:32" s="197" customFormat="1" x14ac:dyDescent="0.25">
      <c r="A71" s="199">
        <v>83</v>
      </c>
      <c r="B71" s="200">
        <f t="shared" si="27"/>
        <v>42.283053477595949</v>
      </c>
      <c r="C71" s="200">
        <f t="shared" si="34"/>
        <v>41.447126692222554</v>
      </c>
      <c r="D71" s="190">
        <f t="shared" ref="D71:D134" si="39">AVERAGE(B71:C71)</f>
        <v>41.865090084909255</v>
      </c>
      <c r="E71" s="191">
        <f t="shared" si="36"/>
        <v>1.8423285014942199</v>
      </c>
      <c r="F71" s="191">
        <f t="shared" si="37"/>
        <v>1.6580700794025462</v>
      </c>
      <c r="G71" s="190">
        <f t="shared" ref="G71:G134" si="40">AVERAGE(E71:F71)</f>
        <v>1.750199290448383</v>
      </c>
      <c r="H71" s="201">
        <f t="shared" si="38"/>
        <v>1.9858240178075324</v>
      </c>
      <c r="I71" s="201">
        <f>F71/(C71-C70)</f>
        <v>1.9286889187731302</v>
      </c>
      <c r="J71" s="191">
        <f>AVERAGE(H71:I71)</f>
        <v>1.9572564682903313</v>
      </c>
      <c r="K71" s="192">
        <f t="shared" si="25"/>
        <v>41.725090419689906</v>
      </c>
      <c r="L71" s="192">
        <f t="shared" si="26"/>
        <v>40.821102675356038</v>
      </c>
      <c r="M71" s="192">
        <f t="shared" ref="M71:M134" si="41">AVERAGE(K71:L71)</f>
        <v>41.273096547522968</v>
      </c>
      <c r="N71" s="193">
        <f t="shared" si="28"/>
        <v>1.8465075113701324</v>
      </c>
      <c r="O71" s="193">
        <f t="shared" si="29"/>
        <v>1.6895112770039078</v>
      </c>
      <c r="P71" s="194">
        <f t="shared" ref="P71:P134" si="42">AVERAGE(N71:O71)</f>
        <v>1.7680093941870201</v>
      </c>
      <c r="Q71" s="193">
        <f t="shared" si="30"/>
        <v>2.0231402047964493</v>
      </c>
      <c r="R71" s="193">
        <f t="shared" si="31"/>
        <v>1.9945726552792482</v>
      </c>
      <c r="S71" s="194">
        <f t="shared" ref="S71:S134" si="43">AVERAGE(Q71:R71)</f>
        <v>2.0088564300378486</v>
      </c>
      <c r="T71" s="65">
        <f t="shared" si="32"/>
        <v>41.167127361783855</v>
      </c>
      <c r="U71" s="65">
        <f t="shared" si="33"/>
        <v>40.195078658489521</v>
      </c>
      <c r="V71" s="195">
        <f t="shared" ref="V71:V134" si="44">AVERAGE(T71:U71)</f>
        <v>40.681103010136688</v>
      </c>
      <c r="W71" s="196">
        <f t="shared" si="20"/>
        <v>1.850686521246045</v>
      </c>
      <c r="X71" s="196">
        <f t="shared" si="21"/>
        <v>1.7209524746052693</v>
      </c>
      <c r="Y71" s="196">
        <f t="shared" ref="Y71:Y134" si="45">AVERAGE(W71:X71)</f>
        <v>1.7858194979256572</v>
      </c>
      <c r="Z71" s="196">
        <f t="shared" si="23"/>
        <v>2.0604563917853662</v>
      </c>
      <c r="AA71" s="196">
        <f t="shared" si="24"/>
        <v>2.0604563917853662</v>
      </c>
      <c r="AB71" s="196">
        <v>2.0604563917853662</v>
      </c>
      <c r="AD71" s="198">
        <f t="shared" ref="AD71:AD134" si="46">C71/B71</f>
        <v>0.98023021715268699</v>
      </c>
      <c r="AE71" s="198">
        <f t="shared" ref="AE71:AE134" si="47">L71/K71</f>
        <v>0.978334672609666</v>
      </c>
      <c r="AF71" s="198">
        <f t="shared" ref="AF71:AF134" si="48">U71/T71</f>
        <v>0.97638774513577786</v>
      </c>
    </row>
    <row r="72" spans="1:32" s="151" customFormat="1" x14ac:dyDescent="0.25">
      <c r="A72" s="202">
        <v>84</v>
      </c>
      <c r="B72" s="203">
        <f t="shared" si="27"/>
        <v>43.217479798651382</v>
      </c>
      <c r="C72" s="203">
        <f t="shared" si="34"/>
        <v>42.312198642803502</v>
      </c>
      <c r="D72" s="110">
        <f t="shared" si="39"/>
        <v>42.764839220727438</v>
      </c>
      <c r="E72" s="111">
        <f t="shared" si="36"/>
        <v>1.8767017130010755</v>
      </c>
      <c r="F72" s="111">
        <f t="shared" si="37"/>
        <v>1.6797698534630756</v>
      </c>
      <c r="G72" s="110">
        <f t="shared" si="40"/>
        <v>1.7782357832320757</v>
      </c>
      <c r="H72" s="208">
        <f t="shared" si="38"/>
        <v>2.0083998820595546</v>
      </c>
      <c r="I72" s="208">
        <f t="shared" si="35"/>
        <v>1.9417689503572615</v>
      </c>
      <c r="J72" s="111">
        <f t="shared" ref="J72" si="49">AVERAGE(H72:I72)</f>
        <v>1.975084416208408</v>
      </c>
      <c r="K72" s="204">
        <f t="shared" si="25"/>
        <v>42.644561667075365</v>
      </c>
      <c r="L72" s="204">
        <f t="shared" si="26"/>
        <v>41.67393772653223</v>
      </c>
      <c r="M72" s="204">
        <f t="shared" si="41"/>
        <v>42.159249696803798</v>
      </c>
      <c r="N72" s="205">
        <f t="shared" si="28"/>
        <v>1.8805573106609619</v>
      </c>
      <c r="O72" s="205">
        <f t="shared" si="29"/>
        <v>1.7139000606853518</v>
      </c>
      <c r="P72" s="206">
        <f t="shared" si="42"/>
        <v>1.797228685673157</v>
      </c>
      <c r="Q72" s="205">
        <f t="shared" si="30"/>
        <v>2.0458689366101472</v>
      </c>
      <c r="R72" s="205">
        <f t="shared" si="31"/>
        <v>2.0106382887124274</v>
      </c>
      <c r="S72" s="206">
        <f t="shared" si="43"/>
        <v>2.0282536126612873</v>
      </c>
      <c r="T72" s="65">
        <f t="shared" si="32"/>
        <v>42.071643535499355</v>
      </c>
      <c r="U72" s="65">
        <f t="shared" si="33"/>
        <v>41.035676810260959</v>
      </c>
      <c r="V72" s="113">
        <f t="shared" si="44"/>
        <v>41.553660172880157</v>
      </c>
      <c r="W72" s="112">
        <f>3.6288 * (1-EXP(-(EXP(-5.0524)*($T71^1.2753))))</f>
        <v>1.8844129083208483</v>
      </c>
      <c r="X72" s="112">
        <f>3.7136 * (1-EXP(-(EXP(-4.0019)*($U71^0.961))))</f>
        <v>1.7480302679076281</v>
      </c>
      <c r="Y72" s="112">
        <f>AVERAGE(W72:X72)</f>
        <v>1.8162215881142383</v>
      </c>
      <c r="Z72" s="66">
        <f t="shared" ref="Z72:Z80" si="50">W72/(T72-T71)</f>
        <v>2.0833379911607399</v>
      </c>
      <c r="AA72" s="66">
        <f>X72/(U72-U71)</f>
        <v>2.0795076270675938</v>
      </c>
      <c r="AB72" s="112">
        <f t="shared" ref="AB72:AB134" si="51">AVERAGE(Z72:AA72)</f>
        <v>2.0814228091141667</v>
      </c>
      <c r="AD72" s="207">
        <f t="shared" si="46"/>
        <v>0.97905289341105606</v>
      </c>
      <c r="AE72" s="207">
        <f t="shared" si="47"/>
        <v>0.97723920934817521</v>
      </c>
      <c r="AF72" s="207">
        <f t="shared" si="48"/>
        <v>0.9753761289509818</v>
      </c>
    </row>
    <row r="73" spans="1:32" s="151" customFormat="1" x14ac:dyDescent="0.25">
      <c r="A73" s="202">
        <v>85</v>
      </c>
      <c r="B73" s="203">
        <f t="shared" si="27"/>
        <v>44.158403312501029</v>
      </c>
      <c r="C73" s="203">
        <f t="shared" si="34"/>
        <v>43.1824991748827</v>
      </c>
      <c r="D73" s="110">
        <f t="shared" si="39"/>
        <v>43.670451243691865</v>
      </c>
      <c r="E73" s="111">
        <f t="shared" si="36"/>
        <v>1.9106973089654207</v>
      </c>
      <c r="F73" s="111">
        <f t="shared" si="37"/>
        <v>1.7012655591180259</v>
      </c>
      <c r="G73" s="110">
        <f t="shared" si="40"/>
        <v>1.8059814340417233</v>
      </c>
      <c r="H73" s="208">
        <f>E73/(B73-B72)</f>
        <v>2.0306616646746241</v>
      </c>
      <c r="I73" s="208">
        <f>F73/(C73-C72)</f>
        <v>1.9548023888410171</v>
      </c>
      <c r="J73" s="111">
        <f t="shared" ref="J73:J134" si="52">AVERAGE(H73:I73)</f>
        <v>1.9927320267578206</v>
      </c>
      <c r="K73" s="204">
        <f t="shared" si="25"/>
        <v>43.57035080932507</v>
      </c>
      <c r="L73" s="204">
        <f t="shared" si="26"/>
        <v>42.531997703407733</v>
      </c>
      <c r="M73" s="204">
        <f t="shared" si="41"/>
        <v>43.051174256366401</v>
      </c>
      <c r="N73" s="205">
        <f t="shared" si="28"/>
        <v>1.9153272520822668</v>
      </c>
      <c r="O73" s="205">
        <f t="shared" si="29"/>
        <v>1.7371291076841193</v>
      </c>
      <c r="P73" s="206">
        <f t="shared" si="42"/>
        <v>1.8262281798831932</v>
      </c>
      <c r="Q73" s="205">
        <f t="shared" si="30"/>
        <v>2.0694938681435233</v>
      </c>
      <c r="R73" s="205">
        <f t="shared" si="31"/>
        <v>2.0254929092843041</v>
      </c>
      <c r="S73" s="206">
        <f t="shared" si="43"/>
        <v>2.0474933887139137</v>
      </c>
      <c r="T73" s="65">
        <f t="shared" si="32"/>
        <v>42.982298306149112</v>
      </c>
      <c r="U73" s="65">
        <f t="shared" si="33"/>
        <v>41.881496231932765</v>
      </c>
      <c r="V73" s="113">
        <f t="shared" si="44"/>
        <v>42.431897269040938</v>
      </c>
      <c r="W73" s="112">
        <f t="shared" ref="W73:W136" si="53">3.6288 * (1-EXP(-(EXP(-5.0524)*($T72^1.2753))))</f>
        <v>1.919957195199113</v>
      </c>
      <c r="X73" s="112">
        <f t="shared" ref="X73:X136" si="54">3.7136 * (1-EXP(-(EXP(-4.0019)*($U72^0.961))))</f>
        <v>1.772992656250213</v>
      </c>
      <c r="Y73" s="112">
        <f t="shared" si="45"/>
        <v>1.8464749257246629</v>
      </c>
      <c r="Z73" s="66">
        <f t="shared" si="50"/>
        <v>2.1083260716124226</v>
      </c>
      <c r="AA73" s="66">
        <f t="shared" ref="AA73:AA80" si="55">X73/(U73-U72)</f>
        <v>2.0961834297275912</v>
      </c>
      <c r="AB73" s="112">
        <f t="shared" si="51"/>
        <v>2.1022547506700069</v>
      </c>
      <c r="AD73" s="207">
        <f t="shared" si="46"/>
        <v>0.97789992245163326</v>
      </c>
      <c r="AE73" s="207">
        <f t="shared" si="47"/>
        <v>0.97616835562188986</v>
      </c>
      <c r="AF73" s="207">
        <f t="shared" si="48"/>
        <v>0.97438940871947599</v>
      </c>
    </row>
    <row r="74" spans="1:32" s="151" customFormat="1" x14ac:dyDescent="0.25">
      <c r="A74" s="202">
        <v>86</v>
      </c>
      <c r="B74" s="203">
        <f t="shared" si="27"/>
        <v>45.10563488794871</v>
      </c>
      <c r="C74" s="203">
        <f t="shared" si="34"/>
        <v>44.057873097494351</v>
      </c>
      <c r="D74" s="110">
        <f t="shared" si="39"/>
        <v>44.581753992721531</v>
      </c>
      <c r="E74" s="111">
        <f t="shared" si="36"/>
        <v>1.9442955335680234</v>
      </c>
      <c r="F74" s="111">
        <f t="shared" si="37"/>
        <v>1.7225537960999477</v>
      </c>
      <c r="G74" s="110">
        <f t="shared" si="40"/>
        <v>1.8334246648339856</v>
      </c>
      <c r="H74" s="208">
        <f t="shared" ref="H74:H80" si="56">E74/(B74-B73)</f>
        <v>2.0526084475690221</v>
      </c>
      <c r="I74" s="208">
        <f t="shared" ref="I74:I80" si="57">F74/(C74-C73)</f>
        <v>1.9677919933469827</v>
      </c>
      <c r="J74" s="111">
        <f t="shared" si="52"/>
        <v>2.0102002204580023</v>
      </c>
      <c r="K74" s="204">
        <f t="shared" si="25"/>
        <v>44.502270772846416</v>
      </c>
      <c r="L74" s="204">
        <f t="shared" si="26"/>
        <v>43.395131164717981</v>
      </c>
      <c r="M74" s="204">
        <f t="shared" si="41"/>
        <v>43.948700968782198</v>
      </c>
      <c r="N74" s="205">
        <f t="shared" si="28"/>
        <v>1.9497566284006425</v>
      </c>
      <c r="O74" s="205">
        <f t="shared" si="29"/>
        <v>1.7601620923645962</v>
      </c>
      <c r="P74" s="206">
        <f t="shared" si="42"/>
        <v>1.8549593603826193</v>
      </c>
      <c r="Q74" s="205">
        <f t="shared" si="30"/>
        <v>2.0928544684069452</v>
      </c>
      <c r="R74" s="205">
        <f t="shared" si="31"/>
        <v>2.0402981463036687</v>
      </c>
      <c r="S74" s="206">
        <f t="shared" si="43"/>
        <v>2.066576307355307</v>
      </c>
      <c r="T74" s="65">
        <f t="shared" si="32"/>
        <v>43.898906657744128</v>
      </c>
      <c r="U74" s="65">
        <f t="shared" si="33"/>
        <v>42.732389231941617</v>
      </c>
      <c r="V74" s="113">
        <f t="shared" si="44"/>
        <v>43.315647944842873</v>
      </c>
      <c r="W74" s="112">
        <f t="shared" si="53"/>
        <v>1.9552177232332613</v>
      </c>
      <c r="X74" s="112">
        <f t="shared" si="54"/>
        <v>1.7977703886292444</v>
      </c>
      <c r="Y74" s="112">
        <f t="shared" si="45"/>
        <v>1.8764940559312528</v>
      </c>
      <c r="Z74" s="66">
        <f t="shared" si="50"/>
        <v>2.1331004892448679</v>
      </c>
      <c r="AA74" s="66">
        <f t="shared" si="55"/>
        <v>2.1128042992603544</v>
      </c>
      <c r="AB74" s="112">
        <f t="shared" si="51"/>
        <v>2.1229523942526112</v>
      </c>
      <c r="AD74" s="207">
        <f t="shared" si="46"/>
        <v>0.97677093354173583</v>
      </c>
      <c r="AE74" s="207">
        <f t="shared" si="47"/>
        <v>0.97512172774779016</v>
      </c>
      <c r="AF74" s="207">
        <f t="shared" si="48"/>
        <v>0.97342718726693556</v>
      </c>
    </row>
    <row r="75" spans="1:32" x14ac:dyDescent="0.25">
      <c r="A75" s="39">
        <v>87</v>
      </c>
      <c r="B75" s="62">
        <f t="shared" si="27"/>
        <v>46.058985431583579</v>
      </c>
      <c r="C75" s="62">
        <f t="shared" si="34"/>
        <v>44.938165789392713</v>
      </c>
      <c r="D75" s="110">
        <f t="shared" si="39"/>
        <v>45.498575610488146</v>
      </c>
      <c r="E75" s="111">
        <f t="shared" si="36"/>
        <v>1.9774777847531104</v>
      </c>
      <c r="F75" s="111">
        <f t="shared" si="37"/>
        <v>1.7436314287780454</v>
      </c>
      <c r="G75" s="110">
        <f t="shared" si="40"/>
        <v>1.8605546067655778</v>
      </c>
      <c r="H75" s="63">
        <f t="shared" si="56"/>
        <v>2.0742399508301741</v>
      </c>
      <c r="I75" s="63">
        <f t="shared" si="57"/>
        <v>1.9807405478033491</v>
      </c>
      <c r="J75" s="111">
        <f t="shared" si="52"/>
        <v>2.0274902493167617</v>
      </c>
      <c r="K75" s="64">
        <f t="shared" si="25"/>
        <v>45.440134573708633</v>
      </c>
      <c r="L75" s="64">
        <f t="shared" si="26"/>
        <v>44.26318718832492</v>
      </c>
      <c r="M75" s="64">
        <f t="shared" si="41"/>
        <v>44.851660881016777</v>
      </c>
      <c r="N75" s="67">
        <f t="shared" si="28"/>
        <v>1.9838268558801619</v>
      </c>
      <c r="O75" s="67">
        <f t="shared" si="29"/>
        <v>1.7829948315543263</v>
      </c>
      <c r="P75" s="116">
        <f t="shared" si="42"/>
        <v>1.8834108437172441</v>
      </c>
      <c r="Q75" s="67">
        <f t="shared" si="30"/>
        <v>2.1159498907694871</v>
      </c>
      <c r="R75" s="67">
        <f t="shared" si="31"/>
        <v>2.0550565438556778</v>
      </c>
      <c r="S75" s="116">
        <f t="shared" si="43"/>
        <v>2.0855032173125823</v>
      </c>
      <c r="T75" s="65">
        <f t="shared" si="32"/>
        <v>44.821283715833694</v>
      </c>
      <c r="U75" s="65">
        <f t="shared" si="33"/>
        <v>43.588208587257121</v>
      </c>
      <c r="V75" s="113">
        <f t="shared" si="44"/>
        <v>44.204746151545407</v>
      </c>
      <c r="W75" s="112">
        <f t="shared" si="53"/>
        <v>1.9901759270072137</v>
      </c>
      <c r="X75" s="112">
        <f t="shared" si="54"/>
        <v>1.8223582343306068</v>
      </c>
      <c r="Y75" s="112">
        <f t="shared" si="45"/>
        <v>1.9062670806689104</v>
      </c>
      <c r="Z75" s="66">
        <f t="shared" si="50"/>
        <v>2.1576598307087997</v>
      </c>
      <c r="AA75" s="66">
        <f t="shared" si="55"/>
        <v>2.1293725399080068</v>
      </c>
      <c r="AB75" s="112">
        <f t="shared" si="51"/>
        <v>2.1435161853084033</v>
      </c>
      <c r="AC75" s="216"/>
      <c r="AD75" s="133">
        <f t="shared" si="46"/>
        <v>0.97566555946275146</v>
      </c>
      <c r="AE75" s="133">
        <f t="shared" si="47"/>
        <v>0.97409894586745593</v>
      </c>
      <c r="AF75" s="133">
        <f t="shared" si="48"/>
        <v>0.97248907156710973</v>
      </c>
    </row>
    <row r="76" spans="1:32" x14ac:dyDescent="0.25">
      <c r="A76" s="39">
        <v>88</v>
      </c>
      <c r="B76" s="62">
        <f t="shared" si="27"/>
        <v>47.018265990444064</v>
      </c>
      <c r="C76" s="62">
        <f t="shared" si="34"/>
        <v>45.823223257369726</v>
      </c>
      <c r="D76" s="110">
        <f t="shared" si="39"/>
        <v>46.420744623906899</v>
      </c>
      <c r="E76" s="111">
        <f t="shared" si="36"/>
        <v>2.010226624117315</v>
      </c>
      <c r="F76" s="111">
        <f t="shared" si="37"/>
        <v>1.7644955793589108</v>
      </c>
      <c r="G76" s="110">
        <f t="shared" si="40"/>
        <v>1.8873611017381129</v>
      </c>
      <c r="H76" s="63">
        <f t="shared" si="56"/>
        <v>2.0955565142540089</v>
      </c>
      <c r="I76" s="63">
        <f t="shared" si="57"/>
        <v>1.9936508568105074</v>
      </c>
      <c r="J76" s="111">
        <f t="shared" si="52"/>
        <v>2.044603685532258</v>
      </c>
      <c r="K76" s="64">
        <f t="shared" si="25"/>
        <v>46.383755418831115</v>
      </c>
      <c r="L76" s="64">
        <f t="shared" si="26"/>
        <v>45.136015427885226</v>
      </c>
      <c r="M76" s="64">
        <f t="shared" si="41"/>
        <v>45.75988542335817</v>
      </c>
      <c r="N76" s="67">
        <f t="shared" si="28"/>
        <v>2.0175203659780969</v>
      </c>
      <c r="O76" s="67">
        <f t="shared" si="29"/>
        <v>1.8056234159746616</v>
      </c>
      <c r="P76" s="116">
        <f t="shared" si="42"/>
        <v>1.9115718909763793</v>
      </c>
      <c r="Q76" s="67">
        <f t="shared" si="30"/>
        <v>2.1387798300150704</v>
      </c>
      <c r="R76" s="67">
        <f t="shared" si="31"/>
        <v>2.0697706843708397</v>
      </c>
      <c r="S76" s="116">
        <f t="shared" si="43"/>
        <v>2.1042752571929553</v>
      </c>
      <c r="T76" s="65">
        <f t="shared" si="32"/>
        <v>45.749244847218158</v>
      </c>
      <c r="U76" s="65">
        <f t="shared" si="33"/>
        <v>44.448807598400727</v>
      </c>
      <c r="V76" s="113">
        <f t="shared" si="44"/>
        <v>45.099026222809442</v>
      </c>
      <c r="W76" s="112">
        <f t="shared" si="53"/>
        <v>2.0248141078388788</v>
      </c>
      <c r="X76" s="112">
        <f t="shared" si="54"/>
        <v>1.8467512525904126</v>
      </c>
      <c r="Y76" s="112">
        <f t="shared" si="45"/>
        <v>1.9357826802146456</v>
      </c>
      <c r="Z76" s="66">
        <f t="shared" si="50"/>
        <v>2.182003145776132</v>
      </c>
      <c r="AA76" s="66">
        <f t="shared" si="55"/>
        <v>2.1458905119311722</v>
      </c>
      <c r="AB76" s="112">
        <f t="shared" si="51"/>
        <v>2.1639468288536521</v>
      </c>
      <c r="AC76" s="216"/>
      <c r="AD76" s="133">
        <f t="shared" si="46"/>
        <v>0.97458343671548375</v>
      </c>
      <c r="AE76" s="133">
        <f t="shared" si="47"/>
        <v>0.97309963413528766</v>
      </c>
      <c r="AF76" s="133">
        <f t="shared" si="48"/>
        <v>0.97157467291186328</v>
      </c>
    </row>
    <row r="77" spans="1:32" x14ac:dyDescent="0.25">
      <c r="A77" s="39">
        <v>89</v>
      </c>
      <c r="B77" s="62">
        <f t="shared" si="27"/>
        <v>47.983287852509754</v>
      </c>
      <c r="C77" s="62">
        <f t="shared" si="34"/>
        <v>46.712892193001323</v>
      </c>
      <c r="D77" s="110">
        <f t="shared" si="39"/>
        <v>47.348090022755542</v>
      </c>
      <c r="E77" s="111">
        <f t="shared" si="36"/>
        <v>2.0425257824977647</v>
      </c>
      <c r="F77" s="111">
        <f t="shared" si="37"/>
        <v>1.7851436210016125</v>
      </c>
      <c r="G77" s="110">
        <f t="shared" si="40"/>
        <v>1.9138347017496886</v>
      </c>
      <c r="H77" s="63">
        <f t="shared" si="56"/>
        <v>2.1165590778696037</v>
      </c>
      <c r="I77" s="63">
        <f t="shared" si="57"/>
        <v>2.0065257417741531</v>
      </c>
      <c r="J77" s="111">
        <f t="shared" si="52"/>
        <v>2.0615424098218784</v>
      </c>
      <c r="K77" s="64">
        <f t="shared" si="25"/>
        <v>47.332946804971058</v>
      </c>
      <c r="L77" s="64">
        <f t="shared" si="26"/>
        <v>46.013466168032728</v>
      </c>
      <c r="M77" s="64">
        <f t="shared" si="41"/>
        <v>46.673206486501897</v>
      </c>
      <c r="N77" s="67">
        <f t="shared" si="28"/>
        <v>2.0508206135779865</v>
      </c>
      <c r="O77" s="67">
        <f t="shared" si="29"/>
        <v>1.8280442043579397</v>
      </c>
      <c r="P77" s="116">
        <f t="shared" si="42"/>
        <v>1.9394324089679631</v>
      </c>
      <c r="Q77" s="67">
        <f t="shared" si="30"/>
        <v>2.1613445066896806</v>
      </c>
      <c r="R77" s="67">
        <f t="shared" si="31"/>
        <v>2.0844431843495705</v>
      </c>
      <c r="S77" s="116">
        <f t="shared" si="43"/>
        <v>2.1228938455196253</v>
      </c>
      <c r="T77" s="65">
        <f t="shared" si="32"/>
        <v>46.68260575743237</v>
      </c>
      <c r="U77" s="65">
        <f t="shared" si="33"/>
        <v>45.314040143064133</v>
      </c>
      <c r="V77" s="113">
        <f t="shared" si="44"/>
        <v>45.998322950248252</v>
      </c>
      <c r="W77" s="112">
        <f t="shared" si="53"/>
        <v>2.0591154446582078</v>
      </c>
      <c r="X77" s="112">
        <f t="shared" si="54"/>
        <v>1.8709447877142669</v>
      </c>
      <c r="Y77" s="112">
        <f t="shared" si="45"/>
        <v>1.9650301161862374</v>
      </c>
      <c r="Z77" s="66">
        <f t="shared" si="50"/>
        <v>2.2061299355097574</v>
      </c>
      <c r="AA77" s="66">
        <f t="shared" si="55"/>
        <v>2.1623606269249884</v>
      </c>
      <c r="AB77" s="112">
        <f t="shared" si="51"/>
        <v>2.1842452812173727</v>
      </c>
      <c r="AC77" s="216"/>
      <c r="AD77" s="133">
        <f t="shared" si="46"/>
        <v>0.97352420568983622</v>
      </c>
      <c r="AE77" s="133">
        <f t="shared" si="47"/>
        <v>0.97212342087267312</v>
      </c>
      <c r="AF77" s="133">
        <f t="shared" si="48"/>
        <v>0.9706836070488557</v>
      </c>
    </row>
    <row r="78" spans="1:32" x14ac:dyDescent="0.25">
      <c r="A78" s="39">
        <v>90</v>
      </c>
      <c r="B78" s="62">
        <f t="shared" si="27"/>
        <v>48.953862644970236</v>
      </c>
      <c r="C78" s="62">
        <f t="shared" si="34"/>
        <v>47.607020027810876</v>
      </c>
      <c r="D78" s="110">
        <f t="shared" si="39"/>
        <v>48.280441336390552</v>
      </c>
      <c r="E78" s="111">
        <f t="shared" si="36"/>
        <v>2.0743601614080558</v>
      </c>
      <c r="F78" s="111">
        <f t="shared" si="37"/>
        <v>1.8055731708640486</v>
      </c>
      <c r="G78" s="110">
        <f t="shared" si="40"/>
        <v>1.9399666661360522</v>
      </c>
      <c r="H78" s="63">
        <f t="shared" si="56"/>
        <v>2.1372491615503351</v>
      </c>
      <c r="I78" s="63">
        <f t="shared" si="57"/>
        <v>2.0193680372881273</v>
      </c>
      <c r="J78" s="111">
        <f t="shared" si="52"/>
        <v>2.0783085994192314</v>
      </c>
      <c r="K78" s="64">
        <f t="shared" si="25"/>
        <v>48.28752261546137</v>
      </c>
      <c r="L78" s="64">
        <f t="shared" si="26"/>
        <v>46.895390378062757</v>
      </c>
      <c r="M78" s="64">
        <f t="shared" si="41"/>
        <v>47.591456496762063</v>
      </c>
      <c r="N78" s="67">
        <f t="shared" si="28"/>
        <v>2.0837120816813375</v>
      </c>
      <c r="O78" s="67">
        <f t="shared" si="29"/>
        <v>1.8502538174176313</v>
      </c>
      <c r="P78" s="116">
        <f t="shared" si="42"/>
        <v>1.9669829495494844</v>
      </c>
      <c r="Q78" s="67">
        <f t="shared" si="30"/>
        <v>2.1836446507116714</v>
      </c>
      <c r="R78" s="67">
        <f t="shared" si="31"/>
        <v>2.0990766903291989</v>
      </c>
      <c r="S78" s="116">
        <f t="shared" si="43"/>
        <v>2.1413606705204353</v>
      </c>
      <c r="T78" s="65">
        <f t="shared" si="32"/>
        <v>47.621182585952511</v>
      </c>
      <c r="U78" s="65">
        <f t="shared" si="33"/>
        <v>46.183760728314638</v>
      </c>
      <c r="V78" s="113">
        <f t="shared" si="44"/>
        <v>46.902471657133574</v>
      </c>
      <c r="W78" s="112">
        <f t="shared" si="53"/>
        <v>2.0930640019546192</v>
      </c>
      <c r="X78" s="112">
        <f t="shared" si="54"/>
        <v>1.8949344639712142</v>
      </c>
      <c r="Y78" s="112">
        <f t="shared" si="45"/>
        <v>1.9939992329629166</v>
      </c>
      <c r="Z78" s="66">
        <f t="shared" si="50"/>
        <v>2.2300401398730081</v>
      </c>
      <c r="AA78" s="66">
        <f t="shared" si="55"/>
        <v>2.1787853433702704</v>
      </c>
      <c r="AB78" s="112">
        <f t="shared" si="51"/>
        <v>2.2044127416216392</v>
      </c>
      <c r="AC78" s="216"/>
      <c r="AD78" s="133">
        <f t="shared" si="46"/>
        <v>0.97248751080324114</v>
      </c>
      <c r="AE78" s="133">
        <f t="shared" si="47"/>
        <v>0.97116993869234325</v>
      </c>
      <c r="AF78" s="133">
        <f t="shared" si="48"/>
        <v>0.96981549429094005</v>
      </c>
    </row>
    <row r="79" spans="1:32" x14ac:dyDescent="0.25">
      <c r="A79" s="39">
        <v>91</v>
      </c>
      <c r="B79" s="62">
        <f t="shared" si="27"/>
        <v>49.929802430223141</v>
      </c>
      <c r="C79" s="62">
        <f t="shared" si="34"/>
        <v>48.505454986840405</v>
      </c>
      <c r="D79" s="110">
        <f t="shared" si="39"/>
        <v>49.217628708531777</v>
      </c>
      <c r="E79" s="111">
        <f t="shared" si="36"/>
        <v>2.1057158304867065</v>
      </c>
      <c r="F79" s="111">
        <f t="shared" si="37"/>
        <v>1.8257820830967761</v>
      </c>
      <c r="G79" s="110">
        <f t="shared" si="40"/>
        <v>1.9657489567917414</v>
      </c>
      <c r="H79" s="63">
        <f t="shared" si="56"/>
        <v>2.157628843813383</v>
      </c>
      <c r="I79" s="63">
        <f t="shared" si="57"/>
        <v>2.0321805877511125</v>
      </c>
      <c r="J79" s="111">
        <f t="shared" si="52"/>
        <v>2.0949047157822478</v>
      </c>
      <c r="K79" s="64">
        <f t="shared" si="25"/>
        <v>49.247297214653038</v>
      </c>
      <c r="L79" s="64">
        <f t="shared" si="26"/>
        <v>47.781639764108782</v>
      </c>
      <c r="M79" s="64">
        <f t="shared" si="41"/>
        <v>48.51446848938091</v>
      </c>
      <c r="N79" s="67">
        <f t="shared" si="28"/>
        <v>2.116180282684172</v>
      </c>
      <c r="O79" s="67">
        <f t="shared" si="29"/>
        <v>1.8722491316893604</v>
      </c>
      <c r="P79" s="116">
        <f t="shared" si="42"/>
        <v>1.9942147071867662</v>
      </c>
      <c r="Q79" s="67">
        <f t="shared" si="30"/>
        <v>2.2056814843210502</v>
      </c>
      <c r="R79" s="67">
        <f t="shared" si="31"/>
        <v>2.1136738750783985</v>
      </c>
      <c r="S79" s="116">
        <f t="shared" si="43"/>
        <v>2.1596776796997244</v>
      </c>
      <c r="T79" s="65">
        <f t="shared" si="32"/>
        <v>48.564791999082935</v>
      </c>
      <c r="U79" s="65">
        <f t="shared" si="33"/>
        <v>47.057824541377158</v>
      </c>
      <c r="V79" s="113">
        <f t="shared" si="44"/>
        <v>47.811308270230043</v>
      </c>
      <c r="W79" s="112">
        <f t="shared" si="53"/>
        <v>2.1266447348816371</v>
      </c>
      <c r="X79" s="112">
        <f t="shared" si="54"/>
        <v>1.9187161802819446</v>
      </c>
      <c r="Y79" s="112">
        <f t="shared" si="45"/>
        <v>2.0226804575817909</v>
      </c>
      <c r="Z79" s="66">
        <f t="shared" si="50"/>
        <v>2.2537341248287177</v>
      </c>
      <c r="AA79" s="66">
        <f t="shared" si="55"/>
        <v>2.1951671624056845</v>
      </c>
      <c r="AB79" s="112">
        <f t="shared" si="51"/>
        <v>2.2244506436172014</v>
      </c>
      <c r="AC79" s="216"/>
      <c r="AD79" s="133">
        <f t="shared" si="46"/>
        <v>0.97147300061174369</v>
      </c>
      <c r="AE79" s="133">
        <f t="shared" si="47"/>
        <v>0.97023882459668942</v>
      </c>
      <c r="AF79" s="133">
        <f t="shared" si="48"/>
        <v>0.96896995960089294</v>
      </c>
    </row>
    <row r="80" spans="1:32" x14ac:dyDescent="0.25">
      <c r="A80" s="39">
        <v>92</v>
      </c>
      <c r="B80" s="62">
        <f t="shared" si="27"/>
        <v>50.910919799558364</v>
      </c>
      <c r="C80" s="62">
        <f t="shared" si="34"/>
        <v>49.408046140621501</v>
      </c>
      <c r="D80" s="110">
        <f t="shared" si="39"/>
        <v>50.159482970089933</v>
      </c>
      <c r="E80" s="111">
        <f t="shared" si="36"/>
        <v>2.1365800211366883</v>
      </c>
      <c r="F80" s="111">
        <f t="shared" si="37"/>
        <v>1.845768441799895</v>
      </c>
      <c r="G80" s="110">
        <f t="shared" si="40"/>
        <v>1.9911742314682916</v>
      </c>
      <c r="H80" s="63">
        <f t="shared" si="56"/>
        <v>2.1777007399067592</v>
      </c>
      <c r="I80" s="63">
        <f t="shared" si="57"/>
        <v>2.0449662442044576</v>
      </c>
      <c r="J80" s="111">
        <f t="shared" si="52"/>
        <v>2.1113334920556084</v>
      </c>
      <c r="K80" s="64">
        <f t="shared" ref="K80:K111" si="58">(B80+T80)/2</f>
        <v>50.212085540020823</v>
      </c>
      <c r="L80" s="64">
        <f t="shared" ref="L80:L111" si="59">(C80+U80)/2</f>
        <v>48.672066819802751</v>
      </c>
      <c r="M80" s="64">
        <f t="shared" si="41"/>
        <v>49.442076179911787</v>
      </c>
      <c r="N80" s="67">
        <f t="shared" si="28"/>
        <v>2.1482117563762797</v>
      </c>
      <c r="O80" s="67">
        <f t="shared" si="29"/>
        <v>1.8940272732601604</v>
      </c>
      <c r="P80" s="116">
        <f t="shared" si="42"/>
        <v>2.0211195148182202</v>
      </c>
      <c r="Q80" s="67">
        <f t="shared" si="30"/>
        <v>2.2274567044430209</v>
      </c>
      <c r="R80" s="67">
        <f t="shared" si="31"/>
        <v>2.128237434007247</v>
      </c>
      <c r="S80" s="116">
        <f t="shared" si="43"/>
        <v>2.1778470692251339</v>
      </c>
      <c r="T80" s="65">
        <f t="shared" si="32"/>
        <v>49.513251280483288</v>
      </c>
      <c r="U80" s="65">
        <f t="shared" si="33"/>
        <v>47.936087498983994</v>
      </c>
      <c r="V80" s="113">
        <f t="shared" si="44"/>
        <v>48.724669389733641</v>
      </c>
      <c r="W80" s="112">
        <f t="shared" si="53"/>
        <v>2.1598434916158711</v>
      </c>
      <c r="X80" s="112">
        <f t="shared" si="54"/>
        <v>1.9422861047204258</v>
      </c>
      <c r="Y80" s="112">
        <f t="shared" si="45"/>
        <v>2.0510647981681487</v>
      </c>
      <c r="Z80" s="66">
        <f t="shared" si="50"/>
        <v>2.2772126689792827</v>
      </c>
      <c r="AA80" s="66">
        <f t="shared" si="55"/>
        <v>2.2115086238100363</v>
      </c>
      <c r="AB80" s="112">
        <f t="shared" si="51"/>
        <v>2.2443606463946595</v>
      </c>
      <c r="AC80" s="216"/>
      <c r="AD80" s="133">
        <f t="shared" si="46"/>
        <v>0.97048032789716165</v>
      </c>
      <c r="AE80" s="133">
        <f t="shared" si="47"/>
        <v>0.96932972005334006</v>
      </c>
      <c r="AF80" s="133">
        <f t="shared" si="48"/>
        <v>0.96814663265466139</v>
      </c>
    </row>
    <row r="81" spans="1:32" x14ac:dyDescent="0.25">
      <c r="A81" s="39">
        <v>93</v>
      </c>
      <c r="B81" s="62">
        <f t="shared" si="27"/>
        <v>51.897027964488331</v>
      </c>
      <c r="C81" s="62">
        <f t="shared" si="34"/>
        <v>50.314643455540399</v>
      </c>
      <c r="D81" s="110">
        <f t="shared" si="39"/>
        <v>51.105835710014361</v>
      </c>
      <c r="E81" s="111">
        <f t="shared" si="36"/>
        <v>2.1669411165468966</v>
      </c>
      <c r="F81" s="111">
        <f t="shared" si="37"/>
        <v>1.8655305539578273</v>
      </c>
      <c r="G81" s="110">
        <f t="shared" si="40"/>
        <v>2.0162358352523619</v>
      </c>
      <c r="H81" s="63">
        <f t="shared" ref="H81:H112" si="60">E81/(B81-B80)</f>
        <v>2.1974679792868295</v>
      </c>
      <c r="I81" s="63">
        <f t="shared" ref="I81:I112" si="61">F81/(C81-C80)</f>
        <v>2.0577278613765957</v>
      </c>
      <c r="J81" s="111">
        <f t="shared" si="52"/>
        <v>2.1275979203317128</v>
      </c>
      <c r="K81" s="64">
        <f t="shared" si="58"/>
        <v>51.181703191894201</v>
      </c>
      <c r="L81" s="64">
        <f t="shared" si="59"/>
        <v>49.566524875412782</v>
      </c>
      <c r="M81" s="64">
        <f t="shared" si="41"/>
        <v>50.374114033653491</v>
      </c>
      <c r="N81" s="67">
        <f t="shared" ref="N81:N112" si="62">(E81+W81)/2</f>
        <v>2.1797940648113916</v>
      </c>
      <c r="O81" s="67">
        <f t="shared" ref="O81:O112" si="63">(F81+X81)/2</f>
        <v>1.9155856114027483</v>
      </c>
      <c r="P81" s="116">
        <f t="shared" si="42"/>
        <v>2.0476898381070701</v>
      </c>
      <c r="Q81" s="67">
        <f t="shared" ref="Q81:Q112" si="64">(H81+Z81)/2</f>
        <v>2.2489724645429185</v>
      </c>
      <c r="R81" s="67">
        <f t="shared" ref="R81:R112" si="65">(I81+AA81)/2</f>
        <v>2.1427700817801609</v>
      </c>
      <c r="S81" s="116">
        <f t="shared" si="43"/>
        <v>2.19587127316154</v>
      </c>
      <c r="T81" s="65">
        <f t="shared" si="32"/>
        <v>50.466378419300071</v>
      </c>
      <c r="U81" s="65">
        <f t="shared" si="33"/>
        <v>48.818406295285158</v>
      </c>
      <c r="V81" s="113">
        <f t="shared" si="44"/>
        <v>49.642392357292614</v>
      </c>
      <c r="W81" s="112">
        <f t="shared" si="53"/>
        <v>2.1926470130758866</v>
      </c>
      <c r="X81" s="112">
        <f t="shared" si="54"/>
        <v>1.9656406688476693</v>
      </c>
      <c r="Y81" s="112">
        <f t="shared" si="45"/>
        <v>2.0791438409617777</v>
      </c>
      <c r="Z81" s="66">
        <f t="shared" ref="Z81:Z112" si="66">W81/(T81-T80)</f>
        <v>2.3004769497990076</v>
      </c>
      <c r="AA81" s="66">
        <f t="shared" ref="AA81:AA112" si="67">X81/(U81-U80)</f>
        <v>2.2278123021837266</v>
      </c>
      <c r="AB81" s="112">
        <f t="shared" si="51"/>
        <v>2.2641446259913671</v>
      </c>
      <c r="AC81" s="216"/>
      <c r="AD81" s="133">
        <f t="shared" si="46"/>
        <v>0.96950914973337754</v>
      </c>
      <c r="AE81" s="133">
        <f t="shared" si="47"/>
        <v>0.9684422710509325</v>
      </c>
      <c r="AF81" s="133">
        <f t="shared" si="48"/>
        <v>0.96734514788593051</v>
      </c>
    </row>
    <row r="82" spans="1:32" x14ac:dyDescent="0.25">
      <c r="A82" s="39">
        <v>94</v>
      </c>
      <c r="B82" s="62">
        <f t="shared" si="27"/>
        <v>52.887940845688597</v>
      </c>
      <c r="C82" s="62">
        <f t="shared" si="34"/>
        <v>51.225097842593193</v>
      </c>
      <c r="D82" s="110">
        <f t="shared" si="39"/>
        <v>52.056519344140895</v>
      </c>
      <c r="E82" s="111">
        <f t="shared" si="36"/>
        <v>2.1967886382967108</v>
      </c>
      <c r="F82" s="111">
        <f t="shared" si="37"/>
        <v>1.885066942366193</v>
      </c>
      <c r="G82" s="110">
        <f t="shared" si="40"/>
        <v>2.0409277903314518</v>
      </c>
      <c r="H82" s="63">
        <f t="shared" si="60"/>
        <v>2.2169341825850517</v>
      </c>
      <c r="I82" s="63">
        <f t="shared" si="61"/>
        <v>2.070468294922811</v>
      </c>
      <c r="J82" s="111">
        <f t="shared" si="52"/>
        <v>2.1437012387539314</v>
      </c>
      <c r="K82" s="64">
        <f t="shared" si="58"/>
        <v>52.155966520779799</v>
      </c>
      <c r="L82" s="64">
        <f t="shared" si="59"/>
        <v>50.464868145453515</v>
      </c>
      <c r="M82" s="64">
        <f t="shared" si="41"/>
        <v>51.310417333116661</v>
      </c>
      <c r="N82" s="67">
        <f t="shared" si="62"/>
        <v>2.2109157842052429</v>
      </c>
      <c r="O82" s="67">
        <f t="shared" si="63"/>
        <v>1.936921752131012</v>
      </c>
      <c r="P82" s="116">
        <f t="shared" si="42"/>
        <v>2.0739187681681273</v>
      </c>
      <c r="Q82" s="67">
        <f t="shared" si="64"/>
        <v>2.2702313560472143</v>
      </c>
      <c r="R82" s="67">
        <f t="shared" si="65"/>
        <v>2.1572745491209653</v>
      </c>
      <c r="S82" s="116">
        <f t="shared" si="43"/>
        <v>2.2137529525840898</v>
      </c>
      <c r="T82" s="65">
        <f t="shared" si="32"/>
        <v>51.423992195871001</v>
      </c>
      <c r="U82" s="65">
        <f t="shared" si="33"/>
        <v>49.704638448313837</v>
      </c>
      <c r="V82" s="113">
        <f t="shared" si="44"/>
        <v>50.564315322092419</v>
      </c>
      <c r="W82" s="112">
        <f t="shared" si="53"/>
        <v>2.2250429301137751</v>
      </c>
      <c r="X82" s="112">
        <f t="shared" si="54"/>
        <v>1.9887765618958311</v>
      </c>
      <c r="Y82" s="112">
        <f t="shared" si="45"/>
        <v>2.1069097460048032</v>
      </c>
      <c r="Z82" s="66">
        <f t="shared" si="66"/>
        <v>2.3235285295093768</v>
      </c>
      <c r="AA82" s="66">
        <f t="shared" si="67"/>
        <v>2.2440808033191195</v>
      </c>
      <c r="AB82" s="112">
        <f t="shared" si="51"/>
        <v>2.2838046664142482</v>
      </c>
      <c r="AC82" s="216"/>
      <c r="AD82" s="133">
        <f t="shared" si="46"/>
        <v>0.96855912753443951</v>
      </c>
      <c r="AE82" s="133">
        <f t="shared" si="47"/>
        <v>0.96757612813765947</v>
      </c>
      <c r="AF82" s="133">
        <f t="shared" si="48"/>
        <v>0.96656514451448561</v>
      </c>
    </row>
    <row r="83" spans="1:32" x14ac:dyDescent="0.25">
      <c r="A83" s="39">
        <v>95</v>
      </c>
      <c r="B83" s="62">
        <f t="shared" si="27"/>
        <v>53.883473159516676</v>
      </c>
      <c r="C83" s="62">
        <f t="shared" si="34"/>
        <v>52.139261204528822</v>
      </c>
      <c r="D83" s="110">
        <f t="shared" si="39"/>
        <v>53.011367182022752</v>
      </c>
      <c r="E83" s="111">
        <f t="shared" si="36"/>
        <v>2.2261132297534068</v>
      </c>
      <c r="F83" s="111">
        <f t="shared" si="37"/>
        <v>1.9043763385642278</v>
      </c>
      <c r="G83" s="110">
        <f t="shared" si="40"/>
        <v>2.0652447841588173</v>
      </c>
      <c r="H83" s="63">
        <f t="shared" si="60"/>
        <v>2.2361034381630729</v>
      </c>
      <c r="I83" s="63">
        <f t="shared" si="61"/>
        <v>2.0831903988494411</v>
      </c>
      <c r="J83" s="111">
        <f t="shared" si="52"/>
        <v>2.1596469185062572</v>
      </c>
      <c r="K83" s="64">
        <f t="shared" si="58"/>
        <v>53.134692712245361</v>
      </c>
      <c r="L83" s="64">
        <f t="shared" si="59"/>
        <v>51.36695177476588</v>
      </c>
      <c r="M83" s="64">
        <f t="shared" si="41"/>
        <v>52.250822243505624</v>
      </c>
      <c r="N83" s="67">
        <f t="shared" si="62"/>
        <v>2.2415664940260402</v>
      </c>
      <c r="O83" s="67">
        <f t="shared" si="63"/>
        <v>1.9580335316922801</v>
      </c>
      <c r="P83" s="116">
        <f t="shared" si="42"/>
        <v>2.0998000128591601</v>
      </c>
      <c r="Q83" s="67">
        <f t="shared" si="64"/>
        <v>2.2912363894062047</v>
      </c>
      <c r="R83" s="67">
        <f t="shared" si="65"/>
        <v>2.1717535798003635</v>
      </c>
      <c r="S83" s="116">
        <f t="shared" si="43"/>
        <v>2.2314949846032839</v>
      </c>
      <c r="T83" s="65">
        <f t="shared" si="32"/>
        <v>52.385912264974046</v>
      </c>
      <c r="U83" s="65">
        <f t="shared" si="33"/>
        <v>50.594642345002939</v>
      </c>
      <c r="V83" s="113">
        <f t="shared" si="44"/>
        <v>51.490277304988496</v>
      </c>
      <c r="W83" s="112">
        <f t="shared" si="53"/>
        <v>2.2570197582986742</v>
      </c>
      <c r="X83" s="112">
        <f t="shared" si="54"/>
        <v>2.0116907248203324</v>
      </c>
      <c r="Y83" s="112">
        <f t="shared" si="45"/>
        <v>2.1343552415595033</v>
      </c>
      <c r="Z83" s="66">
        <f t="shared" si="66"/>
        <v>2.3463693406493364</v>
      </c>
      <c r="AA83" s="66">
        <f t="shared" si="67"/>
        <v>2.260316760751286</v>
      </c>
      <c r="AB83" s="112">
        <f t="shared" si="51"/>
        <v>2.3033430507003114</v>
      </c>
      <c r="AC83" s="216"/>
      <c r="AD83" s="133">
        <f t="shared" si="46"/>
        <v>0.96762992708684004</v>
      </c>
      <c r="AE83" s="133">
        <f t="shared" si="47"/>
        <v>0.96673094644486224</v>
      </c>
      <c r="AF83" s="133">
        <f t="shared" si="48"/>
        <v>0.9658062665605468</v>
      </c>
    </row>
    <row r="84" spans="1:32" x14ac:dyDescent="0.25">
      <c r="A84" s="39">
        <v>96</v>
      </c>
      <c r="B84" s="62">
        <f t="shared" si="27"/>
        <v>54.883440502080703</v>
      </c>
      <c r="C84" s="62">
        <f t="shared" si="34"/>
        <v>53.05698648137961</v>
      </c>
      <c r="D84" s="110">
        <f t="shared" si="39"/>
        <v>53.970213491730156</v>
      </c>
      <c r="E84" s="111">
        <f t="shared" si="36"/>
        <v>2.2549066364788981</v>
      </c>
      <c r="F84" s="111">
        <f t="shared" si="37"/>
        <v>1.9234576757855371</v>
      </c>
      <c r="G84" s="110">
        <f t="shared" si="40"/>
        <v>2.0891821561322175</v>
      </c>
      <c r="H84" s="63">
        <f t="shared" si="60"/>
        <v>2.2549802783529596</v>
      </c>
      <c r="I84" s="63">
        <f t="shared" si="61"/>
        <v>2.0958970231112737</v>
      </c>
      <c r="J84" s="111">
        <f t="shared" si="52"/>
        <v>2.1754386507321168</v>
      </c>
      <c r="K84" s="64">
        <f t="shared" si="58"/>
        <v>54.117699869338693</v>
      </c>
      <c r="L84" s="64">
        <f t="shared" si="59"/>
        <v>52.272631883065102</v>
      </c>
      <c r="M84" s="64">
        <f t="shared" si="41"/>
        <v>53.195165876201898</v>
      </c>
      <c r="N84" s="67">
        <f t="shared" si="62"/>
        <v>2.2717367634478647</v>
      </c>
      <c r="O84" s="67">
        <f t="shared" si="63"/>
        <v>1.9789190100113374</v>
      </c>
      <c r="P84" s="116">
        <f t="shared" si="42"/>
        <v>2.1253278867296013</v>
      </c>
      <c r="Q84" s="67">
        <f t="shared" si="64"/>
        <v>2.3119909748722742</v>
      </c>
      <c r="R84" s="67">
        <f t="shared" si="65"/>
        <v>2.1862099277954652</v>
      </c>
      <c r="S84" s="116">
        <f t="shared" si="43"/>
        <v>2.2491004513338697</v>
      </c>
      <c r="T84" s="65">
        <f t="shared" si="32"/>
        <v>53.351959236596691</v>
      </c>
      <c r="U84" s="65">
        <f t="shared" si="33"/>
        <v>51.488277284750602</v>
      </c>
      <c r="V84" s="113">
        <f t="shared" si="44"/>
        <v>52.420118260673647</v>
      </c>
      <c r="W84" s="112">
        <f t="shared" si="53"/>
        <v>2.2885668904168308</v>
      </c>
      <c r="X84" s="112">
        <f t="shared" si="54"/>
        <v>2.0343803442371375</v>
      </c>
      <c r="Y84" s="112">
        <f t="shared" si="45"/>
        <v>2.1614736173269842</v>
      </c>
      <c r="Z84" s="66">
        <f t="shared" si="66"/>
        <v>2.3690016713915889</v>
      </c>
      <c r="AA84" s="66">
        <f t="shared" si="67"/>
        <v>2.2765228324796563</v>
      </c>
      <c r="AB84" s="112">
        <f t="shared" si="51"/>
        <v>2.3227622519356226</v>
      </c>
      <c r="AC84" s="216"/>
      <c r="AD84" s="133">
        <f t="shared" si="46"/>
        <v>0.9667212185680697</v>
      </c>
      <c r="AE84" s="133">
        <f t="shared" si="47"/>
        <v>0.96590638569768661</v>
      </c>
      <c r="AF84" s="133">
        <f t="shared" si="48"/>
        <v>0.9650681628470037</v>
      </c>
    </row>
    <row r="85" spans="1:32" x14ac:dyDescent="0.25">
      <c r="A85" s="39">
        <v>97</v>
      </c>
      <c r="B85" s="62">
        <f t="shared" si="27"/>
        <v>55.887659430833637</v>
      </c>
      <c r="C85" s="62">
        <f t="shared" si="34"/>
        <v>53.978127694380646</v>
      </c>
      <c r="D85" s="110">
        <f t="shared" si="39"/>
        <v>54.932893562607141</v>
      </c>
      <c r="E85" s="111">
        <f t="shared" si="36"/>
        <v>2.2831616838673248</v>
      </c>
      <c r="F85" s="111">
        <f t="shared" si="37"/>
        <v>1.9423100819392347</v>
      </c>
      <c r="G85" s="110">
        <f t="shared" si="40"/>
        <v>2.1127358829032796</v>
      </c>
      <c r="H85" s="63">
        <f t="shared" si="60"/>
        <v>2.273569655476039</v>
      </c>
      <c r="I85" s="63">
        <f t="shared" si="61"/>
        <v>2.1085910113730306</v>
      </c>
      <c r="J85" s="110">
        <f t="shared" si="52"/>
        <v>2.1910803334245346</v>
      </c>
      <c r="K85" s="64">
        <f t="shared" si="58"/>
        <v>55.104807092519408</v>
      </c>
      <c r="L85" s="64">
        <f t="shared" si="59"/>
        <v>53.181765607957075</v>
      </c>
      <c r="M85" s="64">
        <f t="shared" si="41"/>
        <v>54.143286350238242</v>
      </c>
      <c r="N85" s="67">
        <f t="shared" si="62"/>
        <v>2.3014181353422538</v>
      </c>
      <c r="O85" s="67">
        <f t="shared" si="63"/>
        <v>1.9995764641004903</v>
      </c>
      <c r="P85" s="116">
        <f t="shared" si="42"/>
        <v>2.1504972997213718</v>
      </c>
      <c r="Q85" s="67">
        <f t="shared" si="64"/>
        <v>2.3324989030650434</v>
      </c>
      <c r="R85" s="67">
        <f t="shared" si="65"/>
        <v>2.2006463546136352</v>
      </c>
      <c r="S85" s="116">
        <f t="shared" si="43"/>
        <v>2.2665726288393393</v>
      </c>
      <c r="T85" s="65">
        <f t="shared" si="32"/>
        <v>54.32195475420518</v>
      </c>
      <c r="U85" s="65">
        <f t="shared" si="33"/>
        <v>52.385403521533505</v>
      </c>
      <c r="V85" s="113">
        <f t="shared" si="44"/>
        <v>53.353679137869342</v>
      </c>
      <c r="W85" s="112">
        <f t="shared" si="53"/>
        <v>2.3196745868171833</v>
      </c>
      <c r="X85" s="112">
        <f t="shared" si="54"/>
        <v>2.0568428462617456</v>
      </c>
      <c r="Y85" s="112">
        <f t="shared" si="45"/>
        <v>2.1882587165394645</v>
      </c>
      <c r="Z85" s="66">
        <f t="shared" si="66"/>
        <v>2.3914281506540478</v>
      </c>
      <c r="AA85" s="66">
        <f t="shared" si="67"/>
        <v>2.2927016978542398</v>
      </c>
      <c r="AB85" s="112">
        <f t="shared" si="51"/>
        <v>2.342064924254144</v>
      </c>
      <c r="AC85" s="216"/>
      <c r="AD85" s="133">
        <f t="shared" si="46"/>
        <v>0.96583267655328775</v>
      </c>
      <c r="AE85" s="133">
        <f t="shared" si="47"/>
        <v>0.96510211021456616</v>
      </c>
      <c r="AF85" s="133">
        <f t="shared" si="48"/>
        <v>0.96435048699123327</v>
      </c>
    </row>
    <row r="86" spans="1:32" x14ac:dyDescent="0.25">
      <c r="A86" s="39">
        <v>98</v>
      </c>
      <c r="B86" s="62">
        <f t="shared" si="27"/>
        <v>56.895947543671824</v>
      </c>
      <c r="C86" s="62">
        <f t="shared" si="34"/>
        <v>54.902539988280708</v>
      </c>
      <c r="D86" s="110">
        <f t="shared" si="39"/>
        <v>55.899243765976266</v>
      </c>
      <c r="E86" s="111">
        <f t="shared" si="36"/>
        <v>2.3108722522383691</v>
      </c>
      <c r="F86" s="111">
        <f t="shared" si="37"/>
        <v>1.9609328726328612</v>
      </c>
      <c r="G86" s="110">
        <f t="shared" si="40"/>
        <v>2.1359025624356152</v>
      </c>
      <c r="H86" s="63">
        <f t="shared" si="60"/>
        <v>2.2918769177329619</v>
      </c>
      <c r="I86" s="63">
        <f t="shared" si="61"/>
        <v>2.1212751989263974</v>
      </c>
      <c r="J86" s="110">
        <f t="shared" si="52"/>
        <v>2.2065760583296798</v>
      </c>
      <c r="K86" s="64">
        <f t="shared" si="58"/>
        <v>56.095834557084423</v>
      </c>
      <c r="L86" s="64">
        <f t="shared" si="59"/>
        <v>54.094211146424861</v>
      </c>
      <c r="M86" s="64">
        <f t="shared" si="41"/>
        <v>55.095022851754642</v>
      </c>
      <c r="N86" s="67">
        <f t="shared" si="62"/>
        <v>2.3306031079866685</v>
      </c>
      <c r="O86" s="67">
        <f t="shared" si="63"/>
        <v>2.0200043814493682</v>
      </c>
      <c r="P86" s="116">
        <f t="shared" si="42"/>
        <v>2.1753037447180184</v>
      </c>
      <c r="Q86" s="67">
        <f t="shared" si="64"/>
        <v>2.3527643253943467</v>
      </c>
      <c r="R86" s="67">
        <f t="shared" si="65"/>
        <v>2.2150656267718043</v>
      </c>
      <c r="S86" s="116">
        <f t="shared" si="43"/>
        <v>2.2839149760830755</v>
      </c>
      <c r="T86" s="65">
        <f t="shared" si="32"/>
        <v>55.295721570497022</v>
      </c>
      <c r="U86" s="65">
        <f t="shared" si="33"/>
        <v>53.285882304569014</v>
      </c>
      <c r="V86" s="113">
        <f t="shared" si="44"/>
        <v>54.290801937533018</v>
      </c>
      <c r="W86" s="112">
        <f t="shared" si="53"/>
        <v>2.3503339637349683</v>
      </c>
      <c r="X86" s="112">
        <f t="shared" si="54"/>
        <v>2.0790758902658752</v>
      </c>
      <c r="Y86" s="112">
        <f t="shared" si="45"/>
        <v>2.2147049270004215</v>
      </c>
      <c r="Z86" s="66">
        <f t="shared" si="66"/>
        <v>2.4136517330557319</v>
      </c>
      <c r="AA86" s="66">
        <f t="shared" si="67"/>
        <v>2.3088560546172112</v>
      </c>
      <c r="AB86" s="112">
        <f t="shared" si="51"/>
        <v>2.3612538938364716</v>
      </c>
      <c r="AC86" s="216"/>
      <c r="AD86" s="133">
        <f t="shared" si="46"/>
        <v>0.96496398001173933</v>
      </c>
      <c r="AE86" s="133">
        <f t="shared" si="47"/>
        <v>0.9643177888970943</v>
      </c>
      <c r="AF86" s="133">
        <f t="shared" si="48"/>
        <v>0.96365289738798965</v>
      </c>
    </row>
    <row r="87" spans="1:32" x14ac:dyDescent="0.25">
      <c r="A87" s="39">
        <v>99</v>
      </c>
      <c r="B87" s="62">
        <f t="shared" si="27"/>
        <v>57.908123555520874</v>
      </c>
      <c r="C87" s="62">
        <f t="shared" si="34"/>
        <v>55.830079672049564</v>
      </c>
      <c r="D87" s="110">
        <f t="shared" si="39"/>
        <v>56.869101613785219</v>
      </c>
      <c r="E87" s="111">
        <f t="shared" si="36"/>
        <v>2.3380332496128529</v>
      </c>
      <c r="F87" s="111">
        <f t="shared" si="37"/>
        <v>1.9793255442477258</v>
      </c>
      <c r="G87" s="110">
        <f t="shared" si="40"/>
        <v>2.1586793969302893</v>
      </c>
      <c r="H87" s="63">
        <f t="shared" si="60"/>
        <v>2.3099077850518488</v>
      </c>
      <c r="I87" s="63">
        <f t="shared" si="61"/>
        <v>2.1339524107531078</v>
      </c>
      <c r="J87" s="110">
        <f t="shared" si="52"/>
        <v>2.2219300979024785</v>
      </c>
      <c r="K87" s="64">
        <f t="shared" si="58"/>
        <v>57.090603588072035</v>
      </c>
      <c r="L87" s="64">
        <f t="shared" si="59"/>
        <v>55.009827794788947</v>
      </c>
      <c r="M87" s="64">
        <f t="shared" si="41"/>
        <v>56.050215691430495</v>
      </c>
      <c r="N87" s="67">
        <f t="shared" si="62"/>
        <v>2.3592851146706022</v>
      </c>
      <c r="O87" s="67">
        <f t="shared" si="63"/>
        <v>2.0402014534074651</v>
      </c>
      <c r="P87" s="116">
        <f t="shared" si="42"/>
        <v>2.1997432840390339</v>
      </c>
      <c r="Q87" s="67">
        <f t="shared" si="64"/>
        <v>2.3727917344090992</v>
      </c>
      <c r="R87" s="67">
        <f t="shared" si="65"/>
        <v>2.2294705134235104</v>
      </c>
      <c r="S87" s="116">
        <f t="shared" si="43"/>
        <v>2.3011311239163046</v>
      </c>
      <c r="T87" s="65">
        <f t="shared" si="32"/>
        <v>56.273083620623197</v>
      </c>
      <c r="U87" s="65">
        <f t="shared" si="33"/>
        <v>54.189575917528337</v>
      </c>
      <c r="V87" s="113">
        <f t="shared" si="44"/>
        <v>55.231329769075771</v>
      </c>
      <c r="W87" s="112">
        <f t="shared" si="53"/>
        <v>2.3805369797283515</v>
      </c>
      <c r="X87" s="112">
        <f t="shared" si="54"/>
        <v>2.1010773625672043</v>
      </c>
      <c r="Y87" s="112">
        <f t="shared" si="45"/>
        <v>2.2408071711477779</v>
      </c>
      <c r="Z87" s="66">
        <f t="shared" si="66"/>
        <v>2.4356756837663496</v>
      </c>
      <c r="AA87" s="66">
        <f t="shared" si="67"/>
        <v>2.3249886160939131</v>
      </c>
      <c r="AB87" s="112">
        <f t="shared" si="51"/>
        <v>2.3803321499301315</v>
      </c>
      <c r="AC87" s="216"/>
      <c r="AD87" s="133">
        <f t="shared" si="46"/>
        <v>0.96411481229435914</v>
      </c>
      <c r="AE87" s="133">
        <f t="shared" si="47"/>
        <v>0.9635530952116641</v>
      </c>
      <c r="AF87" s="133">
        <f t="shared" si="48"/>
        <v>0.96297505718468768</v>
      </c>
    </row>
    <row r="88" spans="1:32" x14ac:dyDescent="0.25">
      <c r="A88" s="39">
        <v>100</v>
      </c>
      <c r="B88" s="62">
        <f t="shared" si="27"/>
        <v>58.92400737239543</v>
      </c>
      <c r="C88" s="62">
        <f t="shared" si="34"/>
        <v>56.760604257987879</v>
      </c>
      <c r="D88" s="110">
        <f t="shared" si="39"/>
        <v>57.842305815191651</v>
      </c>
      <c r="E88" s="111">
        <f t="shared" si="36"/>
        <v>2.3646405823974317</v>
      </c>
      <c r="F88" s="111">
        <f t="shared" si="37"/>
        <v>1.9974877670767015</v>
      </c>
      <c r="G88" s="110">
        <f t="shared" si="40"/>
        <v>2.1810641747370667</v>
      </c>
      <c r="H88" s="63">
        <f t="shared" si="60"/>
        <v>2.3276683249787644</v>
      </c>
      <c r="I88" s="63">
        <f t="shared" si="61"/>
        <v>2.1466254597265593</v>
      </c>
      <c r="J88" s="110">
        <f t="shared" si="52"/>
        <v>2.2371468923526621</v>
      </c>
      <c r="K88" s="64">
        <f t="shared" si="58"/>
        <v>58.088936732633201</v>
      </c>
      <c r="L88" s="64">
        <f t="shared" si="59"/>
        <v>55.928475987145916</v>
      </c>
      <c r="M88" s="64">
        <f t="shared" si="41"/>
        <v>57.008706359889558</v>
      </c>
      <c r="N88" s="67">
        <f t="shared" si="62"/>
        <v>2.3874585013811127</v>
      </c>
      <c r="O88" s="67">
        <f t="shared" si="63"/>
        <v>2.0601665685718165</v>
      </c>
      <c r="P88" s="116">
        <f t="shared" si="42"/>
        <v>2.2238125349764646</v>
      </c>
      <c r="Q88" s="67">
        <f t="shared" si="64"/>
        <v>2.3925859441361723</v>
      </c>
      <c r="R88" s="67">
        <f t="shared" si="65"/>
        <v>2.2438637841270559</v>
      </c>
      <c r="S88" s="116">
        <f t="shared" si="43"/>
        <v>2.3182248641316141</v>
      </c>
      <c r="T88" s="65">
        <f t="shared" si="32"/>
        <v>57.253866092870972</v>
      </c>
      <c r="U88" s="65">
        <f t="shared" si="33"/>
        <v>55.09634771630396</v>
      </c>
      <c r="V88" s="113">
        <f t="shared" si="44"/>
        <v>56.175106904587466</v>
      </c>
      <c r="W88" s="112">
        <f t="shared" si="53"/>
        <v>2.4102764203647937</v>
      </c>
      <c r="X88" s="112">
        <f t="shared" si="54"/>
        <v>2.1228453700669316</v>
      </c>
      <c r="Y88" s="112">
        <f t="shared" si="45"/>
        <v>2.2665608952158625</v>
      </c>
      <c r="Z88" s="66">
        <f t="shared" si="66"/>
        <v>2.4575035632935807</v>
      </c>
      <c r="AA88" s="66">
        <f t="shared" si="67"/>
        <v>2.3411021085275525</v>
      </c>
      <c r="AB88" s="112">
        <f t="shared" si="51"/>
        <v>2.3993028359105666</v>
      </c>
      <c r="AC88" s="216"/>
      <c r="AD88" s="133">
        <f t="shared" si="46"/>
        <v>0.96328486111382405</v>
      </c>
      <c r="AE88" s="133">
        <f t="shared" si="47"/>
        <v>0.96280770716408071</v>
      </c>
      <c r="AF88" s="133">
        <f t="shared" si="48"/>
        <v>0.96231663425021252</v>
      </c>
    </row>
    <row r="89" spans="1:32" x14ac:dyDescent="0.25">
      <c r="A89" s="39">
        <v>101</v>
      </c>
      <c r="B89" s="62">
        <f t="shared" si="27"/>
        <v>59.943420162922557</v>
      </c>
      <c r="C89" s="62">
        <f t="shared" si="34"/>
        <v>57.693972499247089</v>
      </c>
      <c r="D89" s="110">
        <f t="shared" si="39"/>
        <v>58.818696331084823</v>
      </c>
      <c r="E89" s="111">
        <f t="shared" si="36"/>
        <v>2.3906911242039586</v>
      </c>
      <c r="F89" s="111">
        <f t="shared" si="37"/>
        <v>2.0154193785337706</v>
      </c>
      <c r="G89" s="110">
        <f t="shared" si="40"/>
        <v>2.2030552513688644</v>
      </c>
      <c r="H89" s="63">
        <f t="shared" si="60"/>
        <v>2.3451649286917013</v>
      </c>
      <c r="I89" s="63">
        <f t="shared" si="61"/>
        <v>2.1592971449454534</v>
      </c>
      <c r="J89" s="110">
        <f t="shared" si="52"/>
        <v>2.2522310368185776</v>
      </c>
      <c r="K89" s="64">
        <f t="shared" si="58"/>
        <v>59.090657829861854</v>
      </c>
      <c r="L89" s="64">
        <f t="shared" si="59"/>
        <v>56.850017332291912</v>
      </c>
      <c r="M89" s="64">
        <f t="shared" si="41"/>
        <v>57.970337581076883</v>
      </c>
      <c r="N89" s="67">
        <f t="shared" si="62"/>
        <v>2.4151185027493263</v>
      </c>
      <c r="O89" s="67">
        <f t="shared" si="63"/>
        <v>2.0798988061915207</v>
      </c>
      <c r="P89" s="116">
        <f t="shared" si="42"/>
        <v>2.2475086544704235</v>
      </c>
      <c r="Q89" s="67">
        <f t="shared" si="64"/>
        <v>2.4121520704730912</v>
      </c>
      <c r="R89" s="67">
        <f t="shared" si="65"/>
        <v>2.2582482067476404</v>
      </c>
      <c r="S89" s="116">
        <f t="shared" si="43"/>
        <v>2.3352001386103658</v>
      </c>
      <c r="T89" s="65">
        <f t="shared" si="32"/>
        <v>58.237895496801144</v>
      </c>
      <c r="U89" s="65">
        <f t="shared" si="33"/>
        <v>56.006062165336736</v>
      </c>
      <c r="V89" s="113">
        <f t="shared" si="44"/>
        <v>57.121978831068944</v>
      </c>
      <c r="W89" s="112">
        <f t="shared" si="53"/>
        <v>2.439545881294694</v>
      </c>
      <c r="X89" s="112">
        <f t="shared" si="54"/>
        <v>2.1443782338492703</v>
      </c>
      <c r="Y89" s="112">
        <f t="shared" si="45"/>
        <v>2.2919620575719821</v>
      </c>
      <c r="Z89" s="66">
        <f t="shared" si="66"/>
        <v>2.4791392122544806</v>
      </c>
      <c r="AA89" s="66">
        <f t="shared" si="67"/>
        <v>2.3571992685498278</v>
      </c>
      <c r="AB89" s="112">
        <f t="shared" si="51"/>
        <v>2.418169240402154</v>
      </c>
      <c r="AC89" s="216"/>
      <c r="AD89" s="133">
        <f t="shared" si="46"/>
        <v>0.96247381851816916</v>
      </c>
      <c r="AE89" s="133">
        <f t="shared" si="47"/>
        <v>0.96208130726820884</v>
      </c>
      <c r="AF89" s="133">
        <f t="shared" si="48"/>
        <v>0.96167730113827699</v>
      </c>
    </row>
    <row r="90" spans="1:32" x14ac:dyDescent="0.25">
      <c r="A90" s="39">
        <v>102</v>
      </c>
      <c r="B90" s="62">
        <f t="shared" si="27"/>
        <v>60.966184427322197</v>
      </c>
      <c r="C90" s="62">
        <f t="shared" si="34"/>
        <v>58.630044425768816</v>
      </c>
      <c r="D90" s="110">
        <f t="shared" si="39"/>
        <v>59.79811442654551</v>
      </c>
      <c r="E90" s="111">
        <f t="shared" si="36"/>
        <v>2.4161826830264848</v>
      </c>
      <c r="F90" s="111">
        <f t="shared" si="37"/>
        <v>2.0331203764439936</v>
      </c>
      <c r="G90" s="110">
        <f t="shared" si="40"/>
        <v>2.2246515297352394</v>
      </c>
      <c r="H90" s="63">
        <f t="shared" si="60"/>
        <v>2.3624042872135123</v>
      </c>
      <c r="I90" s="63">
        <f t="shared" si="61"/>
        <v>2.1719702501908151</v>
      </c>
      <c r="J90" s="110">
        <f t="shared" si="52"/>
        <v>2.2671872687021635</v>
      </c>
      <c r="K90" s="64">
        <f t="shared" si="58"/>
        <v>60.095592078079456</v>
      </c>
      <c r="L90" s="64">
        <f t="shared" si="59"/>
        <v>57.774314649138802</v>
      </c>
      <c r="M90" s="64">
        <f t="shared" si="41"/>
        <v>58.934953363609125</v>
      </c>
      <c r="N90" s="67">
        <f t="shared" si="62"/>
        <v>2.4422612164381992</v>
      </c>
      <c r="O90" s="67">
        <f t="shared" si="63"/>
        <v>2.0993974296001836</v>
      </c>
      <c r="P90" s="116">
        <f t="shared" si="42"/>
        <v>2.2708293230191914</v>
      </c>
      <c r="Q90" s="67">
        <f t="shared" si="64"/>
        <v>2.4314955116940324</v>
      </c>
      <c r="R90" s="67">
        <f t="shared" si="65"/>
        <v>2.2726265454869674</v>
      </c>
      <c r="S90" s="116">
        <f t="shared" si="43"/>
        <v>2.3520610285904997</v>
      </c>
      <c r="T90" s="65">
        <f t="shared" si="32"/>
        <v>59.224999728836714</v>
      </c>
      <c r="U90" s="65">
        <f t="shared" si="33"/>
        <v>56.918584872508781</v>
      </c>
      <c r="V90" s="113">
        <f t="shared" si="44"/>
        <v>58.071792300672747</v>
      </c>
      <c r="W90" s="112">
        <f t="shared" si="53"/>
        <v>2.468339749849914</v>
      </c>
      <c r="X90" s="112">
        <f t="shared" si="54"/>
        <v>2.1656744827563732</v>
      </c>
      <c r="Y90" s="112">
        <f t="shared" si="45"/>
        <v>2.3170071163031434</v>
      </c>
      <c r="Z90" s="66">
        <f t="shared" si="66"/>
        <v>2.5005867361745526</v>
      </c>
      <c r="AA90" s="66">
        <f t="shared" si="67"/>
        <v>2.3732828407831201</v>
      </c>
      <c r="AB90" s="112">
        <f t="shared" si="51"/>
        <v>2.4369347884788364</v>
      </c>
      <c r="AC90" s="216"/>
      <c r="AD90" s="133">
        <f t="shared" si="46"/>
        <v>0.96168138085895316</v>
      </c>
      <c r="AE90" s="133">
        <f t="shared" si="47"/>
        <v>0.96137358250960026</v>
      </c>
      <c r="AF90" s="133">
        <f t="shared" si="48"/>
        <v>0.96105673504621503</v>
      </c>
    </row>
    <row r="91" spans="1:32" x14ac:dyDescent="0.25">
      <c r="A91" s="39">
        <v>103</v>
      </c>
      <c r="B91" s="62">
        <f t="shared" si="27"/>
        <v>61.992124063841516</v>
      </c>
      <c r="C91" s="62">
        <f t="shared" si="34"/>
        <v>59.568681378653828</v>
      </c>
      <c r="D91" s="110">
        <f t="shared" si="39"/>
        <v>60.780402721247668</v>
      </c>
      <c r="E91" s="111">
        <f t="shared" si="36"/>
        <v>2.4411139669950859</v>
      </c>
      <c r="F91" s="111">
        <f t="shared" si="37"/>
        <v>2.0505909124218884</v>
      </c>
      <c r="G91" s="110">
        <f t="shared" si="40"/>
        <v>2.2458524397084871</v>
      </c>
      <c r="H91" s="63">
        <f t="shared" si="60"/>
        <v>2.3793933678954025</v>
      </c>
      <c r="I91" s="63">
        <f t="shared" si="61"/>
        <v>2.1846475425020855</v>
      </c>
      <c r="J91" s="110">
        <f t="shared" si="52"/>
        <v>2.2820204551987437</v>
      </c>
      <c r="K91" s="64">
        <f t="shared" si="58"/>
        <v>61.103566099572873</v>
      </c>
      <c r="L91" s="64">
        <f t="shared" si="59"/>
        <v>58.701232000631805</v>
      </c>
      <c r="M91" s="64">
        <f t="shared" si="41"/>
        <v>59.902399050102339</v>
      </c>
      <c r="N91" s="67">
        <f t="shared" si="62"/>
        <v>2.4688835761495618</v>
      </c>
      <c r="O91" s="67">
        <f t="shared" si="63"/>
        <v>2.1186618796867229</v>
      </c>
      <c r="P91" s="116">
        <f t="shared" si="42"/>
        <v>2.2937727279181424</v>
      </c>
      <c r="Q91" s="67">
        <f t="shared" si="64"/>
        <v>2.4506219291243716</v>
      </c>
      <c r="R91" s="67">
        <f t="shared" si="65"/>
        <v>2.287001559035275</v>
      </c>
      <c r="S91" s="116">
        <f t="shared" si="43"/>
        <v>2.3688117440798235</v>
      </c>
      <c r="T91" s="65">
        <f t="shared" si="32"/>
        <v>60.215008135304231</v>
      </c>
      <c r="U91" s="65">
        <f t="shared" si="33"/>
        <v>57.833782622609789</v>
      </c>
      <c r="V91" s="113">
        <f t="shared" si="44"/>
        <v>59.02439537895701</v>
      </c>
      <c r="W91" s="112">
        <f t="shared" si="53"/>
        <v>2.4966531853040372</v>
      </c>
      <c r="X91" s="112">
        <f t="shared" si="54"/>
        <v>2.1867328469515579</v>
      </c>
      <c r="Y91" s="112">
        <f t="shared" si="45"/>
        <v>2.3416930161277976</v>
      </c>
      <c r="Z91" s="66">
        <f t="shared" si="66"/>
        <v>2.5218504903533407</v>
      </c>
      <c r="AA91" s="66">
        <f t="shared" si="67"/>
        <v>2.3893555755684646</v>
      </c>
      <c r="AB91" s="112">
        <f t="shared" si="51"/>
        <v>2.4556030329609024</v>
      </c>
      <c r="AC91" s="216"/>
      <c r="AD91" s="133">
        <f t="shared" si="46"/>
        <v>0.96090724875482658</v>
      </c>
      <c r="AE91" s="133">
        <f t="shared" si="47"/>
        <v>0.96068422430490741</v>
      </c>
      <c r="AF91" s="133">
        <f t="shared" si="48"/>
        <v>0.96045461776997876</v>
      </c>
    </row>
    <row r="92" spans="1:32" x14ac:dyDescent="0.25">
      <c r="A92" s="39">
        <v>104</v>
      </c>
      <c r="B92" s="62">
        <f t="shared" si="27"/>
        <v>63.021064432643385</v>
      </c>
      <c r="C92" s="62">
        <f t="shared" si="34"/>
        <v>60.509746042973433</v>
      </c>
      <c r="D92" s="110">
        <f t="shared" si="39"/>
        <v>61.765405237808409</v>
      </c>
      <c r="E92" s="111">
        <f t="shared" si="36"/>
        <v>2.465484548920736</v>
      </c>
      <c r="F92" s="111">
        <f t="shared" si="37"/>
        <v>2.0678312853456191</v>
      </c>
      <c r="G92" s="110">
        <f t="shared" si="40"/>
        <v>2.2666579171331778</v>
      </c>
      <c r="H92" s="63">
        <f t="shared" si="60"/>
        <v>2.3961393912376319</v>
      </c>
      <c r="I92" s="63">
        <f t="shared" si="61"/>
        <v>2.1973317708626046</v>
      </c>
      <c r="J92" s="110">
        <f t="shared" si="52"/>
        <v>2.2967355810501182</v>
      </c>
      <c r="K92" s="64">
        <f t="shared" si="58"/>
        <v>62.114408002787286</v>
      </c>
      <c r="L92" s="64">
        <f t="shared" si="59"/>
        <v>59.630634726179579</v>
      </c>
      <c r="M92" s="64">
        <f t="shared" si="41"/>
        <v>60.872521364483433</v>
      </c>
      <c r="N92" s="67">
        <f t="shared" si="62"/>
        <v>2.4949833234253114</v>
      </c>
      <c r="O92" s="67">
        <f t="shared" si="63"/>
        <v>2.1376917684143293</v>
      </c>
      <c r="P92" s="116">
        <f t="shared" si="42"/>
        <v>2.3163375459198203</v>
      </c>
      <c r="Q92" s="67">
        <f t="shared" si="64"/>
        <v>2.4695372280380692</v>
      </c>
      <c r="R92" s="67">
        <f t="shared" si="65"/>
        <v>2.3013759988383149</v>
      </c>
      <c r="S92" s="116">
        <f t="shared" si="43"/>
        <v>2.3854566134381923</v>
      </c>
      <c r="T92" s="65">
        <f t="shared" si="32"/>
        <v>61.20775157293118</v>
      </c>
      <c r="U92" s="65">
        <f t="shared" si="33"/>
        <v>58.751523409385719</v>
      </c>
      <c r="V92" s="113">
        <f t="shared" si="44"/>
        <v>59.979637491158449</v>
      </c>
      <c r="W92" s="112">
        <f t="shared" si="53"/>
        <v>2.5244820979298868</v>
      </c>
      <c r="X92" s="112">
        <f t="shared" si="54"/>
        <v>2.2075522514830395</v>
      </c>
      <c r="Y92" s="112">
        <f t="shared" si="45"/>
        <v>2.3660171747064629</v>
      </c>
      <c r="Z92" s="66">
        <f t="shared" si="66"/>
        <v>2.5429350648385065</v>
      </c>
      <c r="AA92" s="66">
        <f t="shared" si="67"/>
        <v>2.4054202268140252</v>
      </c>
      <c r="AB92" s="112">
        <f t="shared" si="51"/>
        <v>2.4741776458262659</v>
      </c>
      <c r="AC92" s="216"/>
      <c r="AD92" s="133">
        <f t="shared" si="46"/>
        <v>0.96015112705127292</v>
      </c>
      <c r="AE92" s="133">
        <f t="shared" si="47"/>
        <v>0.96001292845781849</v>
      </c>
      <c r="AF92" s="133">
        <f t="shared" si="48"/>
        <v>0.95987063565602837</v>
      </c>
    </row>
    <row r="93" spans="1:32" x14ac:dyDescent="0.25">
      <c r="A93" s="39">
        <v>105</v>
      </c>
      <c r="B93" s="62">
        <f t="shared" si="27"/>
        <v>64.052832417151848</v>
      </c>
      <c r="C93" s="62">
        <f t="shared" si="34"/>
        <v>61.453102479035309</v>
      </c>
      <c r="D93" s="110">
        <f t="shared" si="39"/>
        <v>62.752967448093578</v>
      </c>
      <c r="E93" s="111">
        <f t="shared" si="36"/>
        <v>2.4892948298394679</v>
      </c>
      <c r="F93" s="111">
        <f t="shared" si="37"/>
        <v>2.0848419349337313</v>
      </c>
      <c r="G93" s="110">
        <f t="shared" si="40"/>
        <v>2.2870683823865994</v>
      </c>
      <c r="H93" s="63">
        <f t="shared" si="60"/>
        <v>2.4126498081110506</v>
      </c>
      <c r="I93" s="63">
        <f t="shared" si="61"/>
        <v>2.2100256649936969</v>
      </c>
      <c r="J93" s="110">
        <f t="shared" si="52"/>
        <v>2.3113377365523737</v>
      </c>
      <c r="K93" s="64">
        <f t="shared" si="58"/>
        <v>63.127947441979423</v>
      </c>
      <c r="L93" s="64">
        <f t="shared" si="59"/>
        <v>60.562389472607663</v>
      </c>
      <c r="M93" s="64">
        <f t="shared" si="41"/>
        <v>61.845168457293539</v>
      </c>
      <c r="N93" s="67">
        <f t="shared" si="62"/>
        <v>2.5205589784135967</v>
      </c>
      <c r="O93" s="67">
        <f t="shared" si="63"/>
        <v>2.1564868723967439</v>
      </c>
      <c r="P93" s="116">
        <f t="shared" si="42"/>
        <v>2.3385229254051705</v>
      </c>
      <c r="Q93" s="67">
        <f t="shared" si="64"/>
        <v>2.4882475388268221</v>
      </c>
      <c r="R93" s="67">
        <f t="shared" si="65"/>
        <v>2.3157526074763943</v>
      </c>
      <c r="S93" s="116">
        <f t="shared" si="43"/>
        <v>2.4020000731516085</v>
      </c>
      <c r="T93" s="65">
        <f t="shared" si="32"/>
        <v>62.203062466806998</v>
      </c>
      <c r="U93" s="65">
        <f t="shared" si="33"/>
        <v>59.671676466180024</v>
      </c>
      <c r="V93" s="113">
        <f t="shared" si="44"/>
        <v>60.937369466493507</v>
      </c>
      <c r="W93" s="112">
        <f t="shared" si="53"/>
        <v>2.5518231269877258</v>
      </c>
      <c r="X93" s="112">
        <f t="shared" si="54"/>
        <v>2.2281318098597565</v>
      </c>
      <c r="Y93" s="112">
        <f t="shared" si="45"/>
        <v>2.3899774684237411</v>
      </c>
      <c r="Z93" s="66">
        <f t="shared" si="66"/>
        <v>2.5638452695425937</v>
      </c>
      <c r="AA93" s="66">
        <f t="shared" si="67"/>
        <v>2.4214795499590913</v>
      </c>
      <c r="AB93" s="112">
        <f t="shared" si="51"/>
        <v>2.4926624097508423</v>
      </c>
      <c r="AC93" s="216"/>
      <c r="AD93" s="133">
        <f t="shared" si="46"/>
        <v>0.95941272477717332</v>
      </c>
      <c r="AE93" s="133">
        <f t="shared" si="47"/>
        <v>0.9593593951121292</v>
      </c>
      <c r="AF93" s="133">
        <f t="shared" si="48"/>
        <v>0.95930447955070086</v>
      </c>
    </row>
    <row r="94" spans="1:32" x14ac:dyDescent="0.25">
      <c r="A94" s="39">
        <v>106</v>
      </c>
      <c r="B94" s="62">
        <f t="shared" si="27"/>
        <v>65.08725648286152</v>
      </c>
      <c r="C94" s="62">
        <f t="shared" si="34"/>
        <v>62.398616152119601</v>
      </c>
      <c r="D94" s="110">
        <f t="shared" si="39"/>
        <v>63.74293631749056</v>
      </c>
      <c r="E94" s="111">
        <f t="shared" si="36"/>
        <v>2.5125460017571828</v>
      </c>
      <c r="F94" s="111">
        <f t="shared" si="37"/>
        <v>2.1016234354305956</v>
      </c>
      <c r="G94" s="110">
        <f t="shared" si="40"/>
        <v>2.307084718593889</v>
      </c>
      <c r="H94" s="63">
        <f t="shared" si="60"/>
        <v>2.4289322774344368</v>
      </c>
      <c r="I94" s="63">
        <f t="shared" si="61"/>
        <v>2.2227319342459011</v>
      </c>
      <c r="J94" s="110">
        <f t="shared" si="52"/>
        <v>2.3258321058401688</v>
      </c>
      <c r="K94" s="64">
        <f t="shared" si="58"/>
        <v>64.144015674339414</v>
      </c>
      <c r="L94" s="64">
        <f t="shared" si="59"/>
        <v>61.496364223649039</v>
      </c>
      <c r="M94" s="64">
        <f t="shared" si="41"/>
        <v>62.820189948994226</v>
      </c>
      <c r="N94" s="67">
        <f t="shared" si="62"/>
        <v>2.5456098097660802</v>
      </c>
      <c r="O94" s="67">
        <f t="shared" si="63"/>
        <v>2.1750471265404272</v>
      </c>
      <c r="P94" s="116">
        <f t="shared" si="42"/>
        <v>2.3603284681532539</v>
      </c>
      <c r="Q94" s="67">
        <f t="shared" si="64"/>
        <v>2.5067591984872051</v>
      </c>
      <c r="R94" s="67">
        <f t="shared" si="65"/>
        <v>2.3301341171478418</v>
      </c>
      <c r="S94" s="116">
        <f t="shared" si="43"/>
        <v>2.4184466578175234</v>
      </c>
      <c r="T94" s="65">
        <f t="shared" si="32"/>
        <v>63.200774865817309</v>
      </c>
      <c r="U94" s="65">
        <f t="shared" si="33"/>
        <v>60.594112295178483</v>
      </c>
      <c r="V94" s="113">
        <f t="shared" si="44"/>
        <v>61.897443580497892</v>
      </c>
      <c r="W94" s="112">
        <f t="shared" si="53"/>
        <v>2.5786736177749776</v>
      </c>
      <c r="X94" s="112">
        <f t="shared" si="54"/>
        <v>2.2484708176502584</v>
      </c>
      <c r="Y94" s="112">
        <f t="shared" si="45"/>
        <v>2.413572217712618</v>
      </c>
      <c r="Z94" s="66">
        <f t="shared" si="66"/>
        <v>2.5845861195399737</v>
      </c>
      <c r="AA94" s="66">
        <f t="shared" si="67"/>
        <v>2.4375363000497825</v>
      </c>
      <c r="AB94" s="112">
        <f t="shared" si="51"/>
        <v>2.5110612097948781</v>
      </c>
      <c r="AC94" s="216"/>
      <c r="AD94" s="133">
        <f t="shared" si="46"/>
        <v>0.9586917550987899</v>
      </c>
      <c r="AE94" s="133">
        <f t="shared" si="47"/>
        <v>0.95872332870251586</v>
      </c>
      <c r="AF94" s="133">
        <f t="shared" si="48"/>
        <v>0.95875584474758302</v>
      </c>
    </row>
    <row r="95" spans="1:32" x14ac:dyDescent="0.25">
      <c r="A95" s="39">
        <v>107</v>
      </c>
      <c r="B95" s="62">
        <f t="shared" si="27"/>
        <v>66.124166733619816</v>
      </c>
      <c r="C95" s="62">
        <f t="shared" si="34"/>
        <v>63.346153960699738</v>
      </c>
      <c r="D95" s="110">
        <f t="shared" si="39"/>
        <v>64.735160347159777</v>
      </c>
      <c r="E95" s="111">
        <f t="shared" si="36"/>
        <v>2.5352400097887666</v>
      </c>
      <c r="F95" s="111">
        <f t="shared" si="37"/>
        <v>2.1181764894061348</v>
      </c>
      <c r="G95" s="110">
        <f t="shared" si="40"/>
        <v>2.3267082495974507</v>
      </c>
      <c r="H95" s="63">
        <f t="shared" si="60"/>
        <v>2.4449946443626489</v>
      </c>
      <c r="I95" s="63">
        <f t="shared" si="61"/>
        <v>2.2354532665880349</v>
      </c>
      <c r="J95" s="110">
        <f t="shared" si="52"/>
        <v>2.3402239554753419</v>
      </c>
      <c r="K95" s="64">
        <f t="shared" si="58"/>
        <v>65.162445614592258</v>
      </c>
      <c r="L95" s="64">
        <f t="shared" si="59"/>
        <v>62.432428327984965</v>
      </c>
      <c r="M95" s="64">
        <f t="shared" si="41"/>
        <v>63.797436971288612</v>
      </c>
      <c r="N95" s="67">
        <f t="shared" si="62"/>
        <v>2.5701358038269122</v>
      </c>
      <c r="O95" s="67">
        <f t="shared" si="63"/>
        <v>2.1933726177605402</v>
      </c>
      <c r="P95" s="116">
        <f t="shared" si="42"/>
        <v>2.3817542107937264</v>
      </c>
      <c r="Q95" s="67">
        <f t="shared" si="64"/>
        <v>2.5250787324685335</v>
      </c>
      <c r="R95" s="67">
        <f t="shared" si="65"/>
        <v>2.3445232482544967</v>
      </c>
      <c r="S95" s="116">
        <f t="shared" si="43"/>
        <v>2.4348009903615151</v>
      </c>
      <c r="T95" s="65">
        <f t="shared" si="32"/>
        <v>64.2007244955647</v>
      </c>
      <c r="U95" s="65">
        <f t="shared" si="33"/>
        <v>61.5187026952702</v>
      </c>
      <c r="V95" s="113">
        <f t="shared" si="44"/>
        <v>62.859713595417446</v>
      </c>
      <c r="W95" s="112">
        <f t="shared" si="53"/>
        <v>2.6050315978650582</v>
      </c>
      <c r="X95" s="112">
        <f t="shared" si="54"/>
        <v>2.2685687461149455</v>
      </c>
      <c r="Y95" s="112">
        <f t="shared" si="45"/>
        <v>2.4368001719900017</v>
      </c>
      <c r="Z95" s="66">
        <f t="shared" si="66"/>
        <v>2.6051628205744177</v>
      </c>
      <c r="AA95" s="66">
        <f t="shared" si="67"/>
        <v>2.453593229920958</v>
      </c>
      <c r="AB95" s="112">
        <f t="shared" si="51"/>
        <v>2.5293780252476878</v>
      </c>
      <c r="AC95" s="216"/>
      <c r="AD95" s="133">
        <f t="shared" si="46"/>
        <v>0.95798793527166459</v>
      </c>
      <c r="AE95" s="133">
        <f t="shared" si="47"/>
        <v>0.95810443790347943</v>
      </c>
      <c r="AF95" s="133">
        <f t="shared" si="48"/>
        <v>0.95822443093333332</v>
      </c>
    </row>
    <row r="96" spans="1:32" x14ac:dyDescent="0.25">
      <c r="A96" s="39">
        <v>108</v>
      </c>
      <c r="B96" s="62">
        <f t="shared" si="27"/>
        <v>67.163394965394787</v>
      </c>
      <c r="C96" s="62">
        <f t="shared" si="34"/>
        <v>64.29558426316602</v>
      </c>
      <c r="D96" s="110">
        <f t="shared" si="39"/>
        <v>65.729489614280396</v>
      </c>
      <c r="E96" s="111">
        <f t="shared" si="36"/>
        <v>2.5573795138767701</v>
      </c>
      <c r="F96" s="111">
        <f t="shared" si="37"/>
        <v>2.134501921674842</v>
      </c>
      <c r="G96" s="110">
        <f t="shared" si="40"/>
        <v>2.345940717775806</v>
      </c>
      <c r="H96" s="63">
        <f t="shared" si="60"/>
        <v>2.4608449190307726</v>
      </c>
      <c r="I96" s="63">
        <f t="shared" si="61"/>
        <v>2.2481923276834164</v>
      </c>
      <c r="J96" s="110">
        <f t="shared" si="52"/>
        <v>2.3545186233570945</v>
      </c>
      <c r="K96" s="64">
        <f t="shared" si="58"/>
        <v>66.183071887093305</v>
      </c>
      <c r="L96" s="64">
        <f t="shared" si="59"/>
        <v>63.370452525852031</v>
      </c>
      <c r="M96" s="64">
        <f t="shared" si="41"/>
        <v>64.776762206472668</v>
      </c>
      <c r="N96" s="67">
        <f t="shared" si="62"/>
        <v>2.5941376332680601</v>
      </c>
      <c r="O96" s="67">
        <f t="shared" si="63"/>
        <v>2.2114635787781172</v>
      </c>
      <c r="P96" s="116">
        <f t="shared" si="42"/>
        <v>2.4028006060230886</v>
      </c>
      <c r="Q96" s="67">
        <f t="shared" si="64"/>
        <v>2.5432128369196398</v>
      </c>
      <c r="R96" s="67">
        <f t="shared" si="65"/>
        <v>2.3589227080822583</v>
      </c>
      <c r="S96" s="116">
        <f t="shared" si="43"/>
        <v>2.4510677725009491</v>
      </c>
      <c r="T96" s="65">
        <f t="shared" si="32"/>
        <v>65.202748808791824</v>
      </c>
      <c r="U96" s="65">
        <f t="shared" si="33"/>
        <v>62.445320788538041</v>
      </c>
      <c r="V96" s="113">
        <f t="shared" si="44"/>
        <v>63.824034798664933</v>
      </c>
      <c r="W96" s="112">
        <f t="shared" si="53"/>
        <v>2.6308957526593497</v>
      </c>
      <c r="X96" s="112">
        <f t="shared" si="54"/>
        <v>2.2884252358813919</v>
      </c>
      <c r="Y96" s="112">
        <f t="shared" si="45"/>
        <v>2.4596604942703708</v>
      </c>
      <c r="Z96" s="66">
        <f t="shared" si="66"/>
        <v>2.6255807548085066</v>
      </c>
      <c r="AA96" s="66">
        <f t="shared" si="67"/>
        <v>2.4696530884811008</v>
      </c>
      <c r="AB96" s="112">
        <f t="shared" si="51"/>
        <v>2.5476169216448037</v>
      </c>
      <c r="AC96" s="216"/>
      <c r="AD96" s="133">
        <f t="shared" si="46"/>
        <v>0.95730098659088969</v>
      </c>
      <c r="AE96" s="133">
        <f t="shared" si="47"/>
        <v>0.95750243557688686</v>
      </c>
      <c r="AF96" s="133">
        <f t="shared" si="48"/>
        <v>0.95770994213234806</v>
      </c>
    </row>
    <row r="97" spans="1:32" x14ac:dyDescent="0.25">
      <c r="A97" s="39">
        <v>109</v>
      </c>
      <c r="B97" s="62">
        <f t="shared" si="27"/>
        <v>68.204774717543188</v>
      </c>
      <c r="C97" s="62">
        <f t="shared" si="34"/>
        <v>65.246776903068707</v>
      </c>
      <c r="D97" s="110">
        <f t="shared" si="39"/>
        <v>66.725775810305947</v>
      </c>
      <c r="E97" s="111">
        <f t="shared" si="36"/>
        <v>2.578967850265935</v>
      </c>
      <c r="F97" s="111">
        <f t="shared" si="37"/>
        <v>2.1506006733385417</v>
      </c>
      <c r="G97" s="110">
        <f t="shared" si="40"/>
        <v>2.3647842618022383</v>
      </c>
      <c r="H97" s="63">
        <f t="shared" si="60"/>
        <v>2.4764912558991452</v>
      </c>
      <c r="I97" s="63">
        <f t="shared" si="61"/>
        <v>2.2609517600541604</v>
      </c>
      <c r="J97" s="110">
        <f t="shared" si="52"/>
        <v>2.3687215079766526</v>
      </c>
      <c r="K97" s="64">
        <f t="shared" si="58"/>
        <v>67.205730875434327</v>
      </c>
      <c r="L97" s="64">
        <f t="shared" si="59"/>
        <v>64.310308974230921</v>
      </c>
      <c r="M97" s="64">
        <f t="shared" si="41"/>
        <v>65.758019924832624</v>
      </c>
      <c r="N97" s="67">
        <f t="shared" si="62"/>
        <v>2.6176166253190596</v>
      </c>
      <c r="O97" s="67">
        <f t="shared" si="63"/>
        <v>2.2293203820051843</v>
      </c>
      <c r="P97" s="116">
        <f t="shared" si="42"/>
        <v>2.423468503662122</v>
      </c>
      <c r="Q97" s="67">
        <f t="shared" si="64"/>
        <v>2.5611683613707936</v>
      </c>
      <c r="R97" s="67">
        <f t="shared" si="65"/>
        <v>2.3733351895747044</v>
      </c>
      <c r="S97" s="116">
        <f t="shared" si="43"/>
        <v>2.4672517754727492</v>
      </c>
      <c r="T97" s="65">
        <f t="shared" si="32"/>
        <v>66.206687033325466</v>
      </c>
      <c r="U97" s="65">
        <f t="shared" si="33"/>
        <v>63.373841045393142</v>
      </c>
      <c r="V97" s="113">
        <f t="shared" si="44"/>
        <v>64.7902640393593</v>
      </c>
      <c r="W97" s="112">
        <f t="shared" si="53"/>
        <v>2.6562654003721842</v>
      </c>
      <c r="X97" s="112">
        <f t="shared" si="54"/>
        <v>2.3080400906718275</v>
      </c>
      <c r="Y97" s="112">
        <f t="shared" si="45"/>
        <v>2.482152745522006</v>
      </c>
      <c r="Z97" s="66">
        <f t="shared" si="66"/>
        <v>2.645845466842442</v>
      </c>
      <c r="AA97" s="66">
        <f t="shared" si="67"/>
        <v>2.4857186190952478</v>
      </c>
      <c r="AB97" s="112">
        <f t="shared" si="51"/>
        <v>2.5657820429688449</v>
      </c>
      <c r="AC97" s="216"/>
      <c r="AD97" s="133">
        <f t="shared" si="46"/>
        <v>0.95663063434012574</v>
      </c>
      <c r="AE97" s="133">
        <f t="shared" si="47"/>
        <v>0.95691703871846789</v>
      </c>
      <c r="AF97" s="133">
        <f t="shared" si="48"/>
        <v>0.95721208665060686</v>
      </c>
    </row>
    <row r="98" spans="1:32" x14ac:dyDescent="0.25">
      <c r="A98" s="39">
        <v>110</v>
      </c>
      <c r="B98" s="62">
        <f t="shared" si="27"/>
        <v>69.248141321597046</v>
      </c>
      <c r="C98" s="62">
        <f t="shared" si="34"/>
        <v>66.199603232900756</v>
      </c>
      <c r="D98" s="110">
        <f t="shared" si="39"/>
        <v>67.723872277248901</v>
      </c>
      <c r="E98" s="111">
        <f t="shared" si="36"/>
        <v>2.6000089929003734</v>
      </c>
      <c r="F98" s="111">
        <f t="shared" si="37"/>
        <v>2.1664737959568656</v>
      </c>
      <c r="G98" s="110">
        <f t="shared" si="40"/>
        <v>2.3832413944286195</v>
      </c>
      <c r="H98" s="63">
        <f t="shared" si="60"/>
        <v>2.4919419337348865</v>
      </c>
      <c r="I98" s="63">
        <f t="shared" si="61"/>
        <v>2.2737341823233832</v>
      </c>
      <c r="J98" s="110">
        <f t="shared" si="52"/>
        <v>2.3828380580291348</v>
      </c>
      <c r="K98" s="64">
        <f t="shared" si="58"/>
        <v>68.230260769579672</v>
      </c>
      <c r="L98" s="64">
        <f t="shared" si="59"/>
        <v>65.251871270634737</v>
      </c>
      <c r="M98" s="64">
        <f t="shared" si="41"/>
        <v>66.741066020107212</v>
      </c>
      <c r="N98" s="67">
        <f t="shared" si="62"/>
        <v>2.6405747297323163</v>
      </c>
      <c r="O98" s="67">
        <f t="shared" si="63"/>
        <v>2.2469435335240613</v>
      </c>
      <c r="P98" s="116">
        <f t="shared" si="42"/>
        <v>2.4437591316281888</v>
      </c>
      <c r="Q98" s="67">
        <f t="shared" si="64"/>
        <v>2.5789522918820262</v>
      </c>
      <c r="R98" s="67">
        <f t="shared" si="65"/>
        <v>2.3877633701932055</v>
      </c>
      <c r="S98" s="116">
        <f t="shared" si="43"/>
        <v>2.4833578310376159</v>
      </c>
      <c r="T98" s="65">
        <f t="shared" si="32"/>
        <v>67.212380217562284</v>
      </c>
      <c r="U98" s="65">
        <f t="shared" si="33"/>
        <v>64.304139308368718</v>
      </c>
      <c r="V98" s="113">
        <f t="shared" si="44"/>
        <v>65.758259762965508</v>
      </c>
      <c r="W98" s="112">
        <f t="shared" si="53"/>
        <v>2.6811404665642593</v>
      </c>
      <c r="X98" s="112">
        <f t="shared" si="54"/>
        <v>2.3274132710912574</v>
      </c>
      <c r="Y98" s="112">
        <f t="shared" si="45"/>
        <v>2.5042768688277581</v>
      </c>
      <c r="Z98" s="66">
        <f t="shared" si="66"/>
        <v>2.665962650029166</v>
      </c>
      <c r="AA98" s="66">
        <f t="shared" si="67"/>
        <v>2.5017925580630274</v>
      </c>
      <c r="AB98" s="112">
        <f t="shared" si="51"/>
        <v>2.5838776040460969</v>
      </c>
      <c r="AC98" s="216"/>
      <c r="AD98" s="133">
        <f t="shared" si="46"/>
        <v>0.95597660773971538</v>
      </c>
      <c r="AE98" s="133">
        <f t="shared" si="47"/>
        <v>0.95634796840359071</v>
      </c>
      <c r="AF98" s="133">
        <f t="shared" si="48"/>
        <v>0.956730577018999</v>
      </c>
    </row>
    <row r="99" spans="1:32" x14ac:dyDescent="0.25">
      <c r="A99" s="39">
        <v>111</v>
      </c>
      <c r="B99" s="62">
        <f t="shared" si="27"/>
        <v>70.293331947589124</v>
      </c>
      <c r="C99" s="62">
        <f t="shared" si="34"/>
        <v>67.153936136439043</v>
      </c>
      <c r="D99" s="110">
        <f t="shared" si="39"/>
        <v>68.723634042014083</v>
      </c>
      <c r="E99" s="111">
        <f t="shared" si="36"/>
        <v>2.6205075149003667</v>
      </c>
      <c r="F99" s="111">
        <f t="shared" si="37"/>
        <v>2.1821224458488575</v>
      </c>
      <c r="G99" s="110">
        <f t="shared" si="40"/>
        <v>2.4013149803746119</v>
      </c>
      <c r="H99" s="63">
        <f t="shared" si="60"/>
        <v>2.5072053362639228</v>
      </c>
      <c r="I99" s="63">
        <f t="shared" si="61"/>
        <v>2.286542188536532</v>
      </c>
      <c r="J99" s="110">
        <f t="shared" si="52"/>
        <v>2.3968737624002276</v>
      </c>
      <c r="K99" s="64">
        <f t="shared" si="58"/>
        <v>69.256501610554878</v>
      </c>
      <c r="L99" s="64">
        <f t="shared" si="59"/>
        <v>66.195014475514341</v>
      </c>
      <c r="M99" s="64">
        <f t="shared" si="41"/>
        <v>67.725758043034602</v>
      </c>
      <c r="N99" s="67">
        <f t="shared" si="62"/>
        <v>2.663014486617755</v>
      </c>
      <c r="O99" s="67">
        <f t="shared" si="63"/>
        <v>2.2643336671664898</v>
      </c>
      <c r="P99" s="116">
        <f t="shared" si="42"/>
        <v>2.4636740768921221</v>
      </c>
      <c r="Q99" s="67">
        <f t="shared" si="64"/>
        <v>2.5965717346849653</v>
      </c>
      <c r="R99" s="67">
        <f t="shared" si="65"/>
        <v>2.4022099108619068</v>
      </c>
      <c r="S99" s="116">
        <f t="shared" si="43"/>
        <v>2.499390822773436</v>
      </c>
      <c r="T99" s="65">
        <f t="shared" si="32"/>
        <v>68.219671273520632</v>
      </c>
      <c r="U99" s="65">
        <f t="shared" si="33"/>
        <v>65.236092814589639</v>
      </c>
      <c r="V99" s="113">
        <f t="shared" si="44"/>
        <v>66.727882044055136</v>
      </c>
      <c r="W99" s="112">
        <f t="shared" si="53"/>
        <v>2.7055214583351432</v>
      </c>
      <c r="X99" s="112">
        <f t="shared" si="54"/>
        <v>2.3465448884841216</v>
      </c>
      <c r="Y99" s="112">
        <f t="shared" si="45"/>
        <v>2.5260331734096324</v>
      </c>
      <c r="Z99" s="66">
        <f t="shared" si="66"/>
        <v>2.6859381331060073</v>
      </c>
      <c r="AA99" s="66">
        <f t="shared" si="67"/>
        <v>2.5178776331872816</v>
      </c>
      <c r="AB99" s="112">
        <f t="shared" si="51"/>
        <v>2.6019078831466445</v>
      </c>
      <c r="AC99" s="216"/>
      <c r="AD99" s="133">
        <f t="shared" si="46"/>
        <v>0.95533863989416778</v>
      </c>
      <c r="AE99" s="133">
        <f t="shared" si="47"/>
        <v>0.95579494973257562</v>
      </c>
      <c r="AF99" s="133">
        <f t="shared" si="48"/>
        <v>0.95626512993636981</v>
      </c>
    </row>
    <row r="100" spans="1:32" x14ac:dyDescent="0.25">
      <c r="A100" s="39">
        <v>112</v>
      </c>
      <c r="B100" s="62">
        <f t="shared" si="27"/>
        <v>71.340185647939222</v>
      </c>
      <c r="C100" s="62">
        <f t="shared" si="34"/>
        <v>68.109650049665589</v>
      </c>
      <c r="D100" s="110">
        <f t="shared" si="39"/>
        <v>69.724917848802406</v>
      </c>
      <c r="E100" s="111">
        <f t="shared" si="36"/>
        <v>2.6404685502656036</v>
      </c>
      <c r="F100" s="111">
        <f t="shared" si="37"/>
        <v>2.19754787852867</v>
      </c>
      <c r="G100" s="110">
        <f t="shared" si="40"/>
        <v>2.4190082143971368</v>
      </c>
      <c r="H100" s="63">
        <f t="shared" si="60"/>
        <v>2.5222899335241915</v>
      </c>
      <c r="I100" s="63">
        <f t="shared" si="61"/>
        <v>2.2993783475534215</v>
      </c>
      <c r="J100" s="110">
        <f t="shared" si="52"/>
        <v>2.4108341405388067</v>
      </c>
      <c r="K100" s="64">
        <f t="shared" si="58"/>
        <v>70.28429533271148</v>
      </c>
      <c r="L100" s="64">
        <f t="shared" si="59"/>
        <v>67.139615133300225</v>
      </c>
      <c r="M100" s="64">
        <f t="shared" si="41"/>
        <v>68.711955233005853</v>
      </c>
      <c r="N100" s="67">
        <f t="shared" si="62"/>
        <v>2.6849389942730379</v>
      </c>
      <c r="O100" s="67">
        <f t="shared" si="63"/>
        <v>2.2814915386977446</v>
      </c>
      <c r="P100" s="116">
        <f t="shared" si="42"/>
        <v>2.4832152664853915</v>
      </c>
      <c r="Q100" s="67">
        <f t="shared" si="64"/>
        <v>2.6140339003459108</v>
      </c>
      <c r="R100" s="67">
        <f t="shared" si="65"/>
        <v>2.4166774549918868</v>
      </c>
      <c r="S100" s="116">
        <f t="shared" si="43"/>
        <v>2.5153556776688988</v>
      </c>
      <c r="T100" s="65">
        <f t="shared" si="32"/>
        <v>69.228405017483723</v>
      </c>
      <c r="U100" s="65">
        <f t="shared" si="33"/>
        <v>66.169580216934875</v>
      </c>
      <c r="V100" s="113">
        <f t="shared" si="44"/>
        <v>67.698992617209299</v>
      </c>
      <c r="W100" s="112">
        <f t="shared" si="53"/>
        <v>2.7294094382804719</v>
      </c>
      <c r="X100" s="112">
        <f t="shared" si="54"/>
        <v>2.3654351988668192</v>
      </c>
      <c r="Y100" s="112">
        <f t="shared" si="45"/>
        <v>2.5474223185736458</v>
      </c>
      <c r="Z100" s="66">
        <f t="shared" si="66"/>
        <v>2.70577786716763</v>
      </c>
      <c r="AA100" s="66">
        <f t="shared" si="67"/>
        <v>2.5339765624303516</v>
      </c>
      <c r="AB100" s="112">
        <f t="shared" si="51"/>
        <v>2.6198772147989908</v>
      </c>
      <c r="AC100" s="216"/>
      <c r="AD100" s="133">
        <f t="shared" si="46"/>
        <v>0.95471646773928809</v>
      </c>
      <c r="AE100" s="133">
        <f t="shared" si="47"/>
        <v>0.95525771177579599</v>
      </c>
      <c r="AF100" s="133">
        <f t="shared" si="48"/>
        <v>0.9558154662125129</v>
      </c>
    </row>
    <row r="101" spans="1:32" x14ac:dyDescent="0.25">
      <c r="A101" s="39">
        <v>113</v>
      </c>
      <c r="B101" s="62">
        <f t="shared" si="27"/>
        <v>72.388543398928334</v>
      </c>
      <c r="C101" s="62">
        <f t="shared" si="34"/>
        <v>69.066620980290395</v>
      </c>
      <c r="D101" s="110">
        <f t="shared" si="39"/>
        <v>70.727582189609365</v>
      </c>
      <c r="E101" s="111">
        <f t="shared" si="36"/>
        <v>2.659897755941333</v>
      </c>
      <c r="F101" s="111">
        <f t="shared" si="37"/>
        <v>2.2127514432778659</v>
      </c>
      <c r="G101" s="110">
        <f t="shared" si="40"/>
        <v>2.4363245996095992</v>
      </c>
      <c r="H101" s="63">
        <f t="shared" si="60"/>
        <v>2.5372042639373382</v>
      </c>
      <c r="I101" s="63">
        <f t="shared" si="61"/>
        <v>2.3122452025090894</v>
      </c>
      <c r="J101" s="110">
        <f t="shared" si="52"/>
        <v>2.424724733223214</v>
      </c>
      <c r="K101" s="64">
        <f t="shared" si="58"/>
        <v>71.31348580359554</v>
      </c>
      <c r="L101" s="64">
        <f t="shared" si="59"/>
        <v>68.085551292100689</v>
      </c>
      <c r="M101" s="64">
        <f t="shared" si="41"/>
        <v>69.699518547848115</v>
      </c>
      <c r="N101" s="67">
        <f t="shared" si="62"/>
        <v>2.7063518771277226</v>
      </c>
      <c r="O101" s="67">
        <f t="shared" si="63"/>
        <v>2.2984180201103395</v>
      </c>
      <c r="P101" s="116">
        <f t="shared" si="42"/>
        <v>2.502384948619031</v>
      </c>
      <c r="Q101" s="67">
        <f t="shared" si="64"/>
        <v>2.6313460884667643</v>
      </c>
      <c r="R101" s="67">
        <f t="shared" si="65"/>
        <v>2.4311686275814584</v>
      </c>
      <c r="S101" s="116">
        <f t="shared" si="43"/>
        <v>2.5312573580241113</v>
      </c>
      <c r="T101" s="65">
        <f t="shared" si="32"/>
        <v>70.238428208262761</v>
      </c>
      <c r="U101" s="65">
        <f t="shared" si="33"/>
        <v>67.104481603910983</v>
      </c>
      <c r="V101" s="113">
        <f t="shared" si="44"/>
        <v>68.671454906086865</v>
      </c>
      <c r="W101" s="112">
        <f t="shared" si="53"/>
        <v>2.7528059983141122</v>
      </c>
      <c r="X101" s="112">
        <f t="shared" si="54"/>
        <v>2.3840845969428131</v>
      </c>
      <c r="Y101" s="112">
        <f t="shared" si="45"/>
        <v>2.5684452976284629</v>
      </c>
      <c r="Z101" s="66">
        <f t="shared" si="66"/>
        <v>2.7254879129961909</v>
      </c>
      <c r="AA101" s="66">
        <f t="shared" si="67"/>
        <v>2.5500920526538269</v>
      </c>
      <c r="AB101" s="112">
        <f t="shared" si="51"/>
        <v>2.6377899828250087</v>
      </c>
      <c r="AC101" s="216"/>
      <c r="AD101" s="133">
        <f t="shared" si="46"/>
        <v>0.95410983198914434</v>
      </c>
      <c r="AE101" s="133">
        <f t="shared" si="47"/>
        <v>0.95473598751875755</v>
      </c>
      <c r="AF101" s="133">
        <f t="shared" si="48"/>
        <v>0.95538131071129084</v>
      </c>
    </row>
    <row r="102" spans="1:32" x14ac:dyDescent="0.25">
      <c r="A102" s="39">
        <v>114</v>
      </c>
      <c r="B102" s="62">
        <f t="shared" si="27"/>
        <v>73.438248139786026</v>
      </c>
      <c r="C102" s="62">
        <f t="shared" si="34"/>
        <v>70.024726525898004</v>
      </c>
      <c r="D102" s="110">
        <f t="shared" si="39"/>
        <v>71.731487332842022</v>
      </c>
      <c r="E102" s="111">
        <f t="shared" si="36"/>
        <v>2.6788012743735377</v>
      </c>
      <c r="F102" s="111">
        <f t="shared" si="37"/>
        <v>2.227734577856368</v>
      </c>
      <c r="G102" s="110">
        <f t="shared" si="40"/>
        <v>2.453267926114953</v>
      </c>
      <c r="H102" s="63">
        <f t="shared" si="60"/>
        <v>2.5519569171277108</v>
      </c>
      <c r="I102" s="63">
        <f t="shared" si="61"/>
        <v>2.3251452703403253</v>
      </c>
      <c r="J102" s="110">
        <f t="shared" si="52"/>
        <v>2.4385510937340182</v>
      </c>
      <c r="K102" s="64">
        <f t="shared" si="58"/>
        <v>72.343918861448103</v>
      </c>
      <c r="L102" s="64">
        <f t="shared" si="59"/>
        <v>69.032702522076676</v>
      </c>
      <c r="M102" s="64">
        <f t="shared" si="41"/>
        <v>70.688310691762382</v>
      </c>
      <c r="N102" s="67">
        <f t="shared" si="62"/>
        <v>2.7272572539118651</v>
      </c>
      <c r="O102" s="67">
        <f t="shared" si="63"/>
        <v>2.3151140940314736</v>
      </c>
      <c r="P102" s="116">
        <f t="shared" si="42"/>
        <v>2.5211856739716696</v>
      </c>
      <c r="Q102" s="67">
        <f t="shared" si="64"/>
        <v>2.6485156729471879</v>
      </c>
      <c r="R102" s="67">
        <f t="shared" si="65"/>
        <v>2.4456860343897731</v>
      </c>
      <c r="S102" s="116">
        <f t="shared" si="43"/>
        <v>2.5471008536684803</v>
      </c>
      <c r="T102" s="65">
        <f t="shared" si="32"/>
        <v>71.249589583110179</v>
      </c>
      <c r="U102" s="65">
        <f t="shared" si="33"/>
        <v>68.040678518255334</v>
      </c>
      <c r="V102" s="113">
        <f t="shared" si="44"/>
        <v>69.645134050682756</v>
      </c>
      <c r="W102" s="112">
        <f t="shared" si="53"/>
        <v>2.7757132334501926</v>
      </c>
      <c r="X102" s="112">
        <f t="shared" si="54"/>
        <v>2.4024936102065797</v>
      </c>
      <c r="Y102" s="112">
        <f t="shared" si="45"/>
        <v>2.5891034218283862</v>
      </c>
      <c r="Z102" s="66">
        <f t="shared" si="66"/>
        <v>2.7450744287666651</v>
      </c>
      <c r="AA102" s="66">
        <f t="shared" si="67"/>
        <v>2.5662267984392213</v>
      </c>
      <c r="AB102" s="112">
        <f t="shared" si="51"/>
        <v>2.6556506136029432</v>
      </c>
      <c r="AC102" s="216"/>
      <c r="AD102" s="133">
        <f t="shared" si="46"/>
        <v>0.95351847708307857</v>
      </c>
      <c r="AE102" s="133">
        <f t="shared" si="47"/>
        <v>0.95422951380733168</v>
      </c>
      <c r="AF102" s="133">
        <f t="shared" si="48"/>
        <v>0.9549623922940389</v>
      </c>
    </row>
    <row r="103" spans="1:32" x14ac:dyDescent="0.25">
      <c r="A103" s="39">
        <v>115</v>
      </c>
      <c r="B103" s="62">
        <f t="shared" si="27"/>
        <v>74.489144809422328</v>
      </c>
      <c r="C103" s="62">
        <f t="shared" si="34"/>
        <v>70.983845890741435</v>
      </c>
      <c r="D103" s="110">
        <f t="shared" si="39"/>
        <v>72.736495350081881</v>
      </c>
      <c r="E103" s="111">
        <f t="shared" si="36"/>
        <v>2.6971856966686376</v>
      </c>
      <c r="F103" s="111">
        <f t="shared" si="37"/>
        <v>2.2424988033537105</v>
      </c>
      <c r="G103" s="110">
        <f t="shared" si="40"/>
        <v>2.4698422500111743</v>
      </c>
      <c r="H103" s="63">
        <f t="shared" si="60"/>
        <v>2.5665565174948073</v>
      </c>
      <c r="I103" s="63">
        <f t="shared" si="61"/>
        <v>2.3380810413725519</v>
      </c>
      <c r="J103" s="110">
        <f t="shared" si="52"/>
        <v>2.4523187794336794</v>
      </c>
      <c r="K103" s="64">
        <f t="shared" si="58"/>
        <v>73.37544235036907</v>
      </c>
      <c r="L103" s="64">
        <f t="shared" si="59"/>
        <v>69.980949932514818</v>
      </c>
      <c r="M103" s="64">
        <f t="shared" si="41"/>
        <v>71.678196141441944</v>
      </c>
      <c r="N103" s="67">
        <f t="shared" si="62"/>
        <v>2.747659706151433</v>
      </c>
      <c r="O103" s="67">
        <f t="shared" si="63"/>
        <v>2.3315808482478495</v>
      </c>
      <c r="P103" s="116">
        <f t="shared" si="42"/>
        <v>2.5396202771996412</v>
      </c>
      <c r="Q103" s="67">
        <f t="shared" si="64"/>
        <v>2.6655500878173726</v>
      </c>
      <c r="R103" s="67">
        <f t="shared" si="65"/>
        <v>2.4602322611798053</v>
      </c>
      <c r="S103" s="116">
        <f t="shared" si="43"/>
        <v>2.5628911744985889</v>
      </c>
      <c r="T103" s="65">
        <f t="shared" si="32"/>
        <v>72.261739891315798</v>
      </c>
      <c r="U103" s="65">
        <f t="shared" si="33"/>
        <v>68.978053974288201</v>
      </c>
      <c r="V103" s="113">
        <f t="shared" si="44"/>
        <v>70.619896932801993</v>
      </c>
      <c r="W103" s="112">
        <f t="shared" si="53"/>
        <v>2.7981337156342279</v>
      </c>
      <c r="X103" s="112">
        <f t="shared" si="54"/>
        <v>2.4206628931419885</v>
      </c>
      <c r="Y103" s="112">
        <f t="shared" si="45"/>
        <v>2.6093983043881082</v>
      </c>
      <c r="Z103" s="66">
        <f t="shared" si="66"/>
        <v>2.7645436581399374</v>
      </c>
      <c r="AA103" s="66">
        <f t="shared" si="67"/>
        <v>2.5823834809870587</v>
      </c>
      <c r="AB103" s="112">
        <f t="shared" si="51"/>
        <v>2.6734635695634981</v>
      </c>
      <c r="AC103" s="216"/>
      <c r="AD103" s="133">
        <f t="shared" si="46"/>
        <v>0.95294215113290581</v>
      </c>
      <c r="AE103" s="133">
        <f t="shared" si="47"/>
        <v>0.95373803129328349</v>
      </c>
      <c r="AF103" s="133">
        <f t="shared" si="48"/>
        <v>0.95455844376337495</v>
      </c>
    </row>
    <row r="104" spans="1:32" x14ac:dyDescent="0.25">
      <c r="A104" s="39">
        <v>116</v>
      </c>
      <c r="B104" s="62">
        <f t="shared" si="27"/>
        <v>75.541080380834757</v>
      </c>
      <c r="C104" s="62">
        <f t="shared" si="34"/>
        <v>71.943859901207162</v>
      </c>
      <c r="D104" s="110">
        <f t="shared" si="39"/>
        <v>73.742470141020959</v>
      </c>
      <c r="E104" s="111">
        <f t="shared" si="36"/>
        <v>2.7150580264629842</v>
      </c>
      <c r="F104" s="111">
        <f t="shared" si="37"/>
        <v>2.2570457191818463</v>
      </c>
      <c r="G104" s="110">
        <f t="shared" si="40"/>
        <v>2.486051872822415</v>
      </c>
      <c r="H104" s="63">
        <f t="shared" si="60"/>
        <v>2.581011708556912</v>
      </c>
      <c r="I104" s="63">
        <f t="shared" si="61"/>
        <v>2.3510549789652511</v>
      </c>
      <c r="J104" s="110">
        <f t="shared" si="52"/>
        <v>2.4660333437610813</v>
      </c>
      <c r="K104" s="64">
        <f t="shared" si="58"/>
        <v>74.407906153177066</v>
      </c>
      <c r="L104" s="64">
        <f t="shared" si="59"/>
        <v>70.930176187621043</v>
      </c>
      <c r="M104" s="64">
        <f t="shared" si="41"/>
        <v>72.669041170399055</v>
      </c>
      <c r="N104" s="67">
        <f t="shared" si="62"/>
        <v>2.7675642470849908</v>
      </c>
      <c r="O104" s="67">
        <f t="shared" si="63"/>
        <v>2.3478194703510935</v>
      </c>
      <c r="P104" s="116">
        <f t="shared" si="42"/>
        <v>2.5576918587180422</v>
      </c>
      <c r="Q104" s="67">
        <f t="shared" si="64"/>
        <v>2.6824568136579932</v>
      </c>
      <c r="R104" s="67">
        <f t="shared" si="65"/>
        <v>2.4748098730263841</v>
      </c>
      <c r="S104" s="116">
        <f t="shared" si="43"/>
        <v>2.5786333433421884</v>
      </c>
      <c r="T104" s="65">
        <f t="shared" si="32"/>
        <v>73.274731925519376</v>
      </c>
      <c r="U104" s="65">
        <f t="shared" si="33"/>
        <v>69.916492474034939</v>
      </c>
      <c r="V104" s="113">
        <f t="shared" si="44"/>
        <v>71.59561219977715</v>
      </c>
      <c r="W104" s="112">
        <f t="shared" si="53"/>
        <v>2.820070467706997</v>
      </c>
      <c r="X104" s="112">
        <f t="shared" si="54"/>
        <v>2.4385932215203407</v>
      </c>
      <c r="Y104" s="112">
        <f t="shared" si="45"/>
        <v>2.6293318446136689</v>
      </c>
      <c r="Z104" s="66">
        <f t="shared" si="66"/>
        <v>2.7839019187590743</v>
      </c>
      <c r="AA104" s="66">
        <f t="shared" si="67"/>
        <v>2.5985647670875172</v>
      </c>
      <c r="AB104" s="112">
        <f t="shared" si="51"/>
        <v>2.6912333429232955</v>
      </c>
      <c r="AC104" s="216"/>
      <c r="AD104" s="133">
        <f t="shared" si="46"/>
        <v>0.95238060587044193</v>
      </c>
      <c r="AE104" s="133">
        <f t="shared" si="47"/>
        <v>0.95326128438022806</v>
      </c>
      <c r="AF104" s="133">
        <f t="shared" si="48"/>
        <v>0.95416920180754883</v>
      </c>
    </row>
    <row r="105" spans="1:32" x14ac:dyDescent="0.25">
      <c r="A105" s="39">
        <v>117</v>
      </c>
      <c r="B105" s="62">
        <f t="shared" si="27"/>
        <v>76.593903893224265</v>
      </c>
      <c r="C105" s="62">
        <f t="shared" si="34"/>
        <v>72.904651019975844</v>
      </c>
      <c r="D105" s="110">
        <f t="shared" si="39"/>
        <v>74.749277456600055</v>
      </c>
      <c r="E105" s="111">
        <f t="shared" si="36"/>
        <v>2.7324256445969648</v>
      </c>
      <c r="F105" s="111">
        <f t="shared" si="37"/>
        <v>2.2713769982103571</v>
      </c>
      <c r="G105" s="110">
        <f t="shared" si="40"/>
        <v>2.5019013214036612</v>
      </c>
      <c r="H105" s="63">
        <f t="shared" si="60"/>
        <v>2.5953311380702342</v>
      </c>
      <c r="I105" s="63">
        <f t="shared" si="61"/>
        <v>2.3640695192117072</v>
      </c>
      <c r="J105" s="110">
        <f t="shared" si="52"/>
        <v>2.4797003286409707</v>
      </c>
      <c r="K105" s="64">
        <f t="shared" si="58"/>
        <v>75.441162222000372</v>
      </c>
      <c r="L105" s="64">
        <f t="shared" si="59"/>
        <v>71.880265521056856</v>
      </c>
      <c r="M105" s="64">
        <f t="shared" si="41"/>
        <v>73.660713871528614</v>
      </c>
      <c r="N105" s="67">
        <f t="shared" si="62"/>
        <v>2.7869762910879974</v>
      </c>
      <c r="O105" s="67">
        <f t="shared" si="63"/>
        <v>2.3638312425065116</v>
      </c>
      <c r="P105" s="116">
        <f t="shared" si="42"/>
        <v>2.5754037667972547</v>
      </c>
      <c r="Q105" s="67">
        <f t="shared" si="64"/>
        <v>2.6992433646122991</v>
      </c>
      <c r="R105" s="67">
        <f t="shared" si="65"/>
        <v>2.4894214136886537</v>
      </c>
      <c r="S105" s="116">
        <f t="shared" si="43"/>
        <v>2.5943323891504764</v>
      </c>
      <c r="T105" s="65">
        <f t="shared" si="32"/>
        <v>74.288420550776479</v>
      </c>
      <c r="U105" s="65">
        <f t="shared" si="33"/>
        <v>70.855880022137868</v>
      </c>
      <c r="V105" s="113">
        <f t="shared" si="44"/>
        <v>72.572150286457173</v>
      </c>
      <c r="W105" s="112">
        <f t="shared" si="53"/>
        <v>2.8415269375790295</v>
      </c>
      <c r="X105" s="112">
        <f t="shared" si="54"/>
        <v>2.456285486802666</v>
      </c>
      <c r="Y105" s="112">
        <f t="shared" si="45"/>
        <v>2.6489062121908478</v>
      </c>
      <c r="Z105" s="66">
        <f t="shared" si="66"/>
        <v>2.803155591154364</v>
      </c>
      <c r="AA105" s="66">
        <f t="shared" si="67"/>
        <v>2.6147733081656002</v>
      </c>
      <c r="AB105" s="112">
        <f t="shared" si="51"/>
        <v>2.7089644496599821</v>
      </c>
      <c r="AC105" s="216"/>
      <c r="AD105" s="133">
        <f t="shared" si="46"/>
        <v>0.95183359659547551</v>
      </c>
      <c r="AE105" s="133">
        <f t="shared" si="47"/>
        <v>0.95279902117010229</v>
      </c>
      <c r="AF105" s="133">
        <f t="shared" si="48"/>
        <v>0.95379440694539397</v>
      </c>
    </row>
    <row r="106" spans="1:32" x14ac:dyDescent="0.25">
      <c r="A106" s="39">
        <v>118</v>
      </c>
      <c r="B106" s="62">
        <f t="shared" si="27"/>
        <v>77.647466481855375</v>
      </c>
      <c r="C106" s="62">
        <f t="shared" si="34"/>
        <v>73.866103358903572</v>
      </c>
      <c r="D106" s="110">
        <f t="shared" si="39"/>
        <v>75.756784920379474</v>
      </c>
      <c r="E106" s="111">
        <f t="shared" si="36"/>
        <v>2.749296274678493</v>
      </c>
      <c r="F106" s="111">
        <f t="shared" si="37"/>
        <v>2.285494382044635</v>
      </c>
      <c r="G106" s="110">
        <f t="shared" si="40"/>
        <v>2.5173953283615642</v>
      </c>
      <c r="H106" s="63">
        <f t="shared" si="60"/>
        <v>2.6095234439281341</v>
      </c>
      <c r="I106" s="63">
        <f t="shared" si="61"/>
        <v>2.3771270706913685</v>
      </c>
      <c r="J106" s="110">
        <f t="shared" si="52"/>
        <v>2.4933252573097513</v>
      </c>
      <c r="K106" s="64">
        <f t="shared" si="58"/>
        <v>76.47506460663493</v>
      </c>
      <c r="L106" s="64">
        <f t="shared" si="59"/>
        <v>72.831103749241791</v>
      </c>
      <c r="M106" s="64">
        <f t="shared" si="41"/>
        <v>74.653084177938354</v>
      </c>
      <c r="N106" s="67">
        <f t="shared" si="62"/>
        <v>2.8059016236831926</v>
      </c>
      <c r="O106" s="67">
        <f t="shared" si="63"/>
        <v>2.3796175363475518</v>
      </c>
      <c r="P106" s="116">
        <f t="shared" si="42"/>
        <v>2.5927595800153722</v>
      </c>
      <c r="Q106" s="67">
        <f t="shared" si="64"/>
        <v>2.7159172759991188</v>
      </c>
      <c r="R106" s="67">
        <f t="shared" si="65"/>
        <v>2.5040694050420624</v>
      </c>
      <c r="S106" s="116">
        <f t="shared" si="43"/>
        <v>2.6099933405205906</v>
      </c>
      <c r="T106" s="65">
        <f t="shared" si="32"/>
        <v>75.302662731414486</v>
      </c>
      <c r="U106" s="65">
        <f t="shared" si="33"/>
        <v>71.796104139580009</v>
      </c>
      <c r="V106" s="113">
        <f t="shared" si="44"/>
        <v>73.549383435497248</v>
      </c>
      <c r="W106" s="112">
        <f t="shared" si="53"/>
        <v>2.8625069726878922</v>
      </c>
      <c r="X106" s="112">
        <f t="shared" si="54"/>
        <v>2.4737406906504686</v>
      </c>
      <c r="Y106" s="112">
        <f t="shared" si="45"/>
        <v>2.6681238316691802</v>
      </c>
      <c r="Z106" s="66">
        <f t="shared" si="66"/>
        <v>2.822311108070104</v>
      </c>
      <c r="AA106" s="66">
        <f t="shared" si="67"/>
        <v>2.6310117393927559</v>
      </c>
      <c r="AB106" s="112">
        <f t="shared" si="51"/>
        <v>2.7266614237314299</v>
      </c>
      <c r="AC106" s="216"/>
      <c r="AD106" s="133">
        <f t="shared" si="46"/>
        <v>0.95130088212426833</v>
      </c>
      <c r="AE106" s="133">
        <f t="shared" si="47"/>
        <v>0.95235099341024954</v>
      </c>
      <c r="AF106" s="133">
        <f t="shared" si="48"/>
        <v>0.95343380347197704</v>
      </c>
    </row>
    <row r="107" spans="1:32" x14ac:dyDescent="0.25">
      <c r="A107" s="39">
        <v>119</v>
      </c>
      <c r="B107" s="62">
        <f t="shared" si="27"/>
        <v>78.701621405697239</v>
      </c>
      <c r="C107" s="62">
        <f t="shared" si="34"/>
        <v>74.828102690649928</v>
      </c>
      <c r="D107" s="110">
        <f t="shared" si="39"/>
        <v>76.764862048173583</v>
      </c>
      <c r="E107" s="111">
        <f t="shared" si="36"/>
        <v>2.765677949610768</v>
      </c>
      <c r="F107" s="111">
        <f t="shared" si="37"/>
        <v>2.299399676447166</v>
      </c>
      <c r="G107" s="110">
        <f t="shared" si="40"/>
        <v>2.532538813028967</v>
      </c>
      <c r="H107" s="63">
        <f t="shared" si="60"/>
        <v>2.623597240841284</v>
      </c>
      <c r="I107" s="63">
        <f t="shared" si="61"/>
        <v>2.3902300142693189</v>
      </c>
      <c r="J107" s="110">
        <f t="shared" si="52"/>
        <v>2.5069136275553014</v>
      </c>
      <c r="K107" s="64">
        <f t="shared" si="58"/>
        <v>77.50946948070802</v>
      </c>
      <c r="L107" s="64">
        <f t="shared" si="59"/>
        <v>73.782578283446114</v>
      </c>
      <c r="M107" s="64">
        <f t="shared" si="41"/>
        <v>75.64602388207706</v>
      </c>
      <c r="N107" s="67">
        <f t="shared" si="62"/>
        <v>2.8243463722077604</v>
      </c>
      <c r="O107" s="67">
        <f t="shared" si="63"/>
        <v>2.395179807997891</v>
      </c>
      <c r="P107" s="116">
        <f t="shared" si="42"/>
        <v>2.6097630901028257</v>
      </c>
      <c r="Q107" s="67">
        <f t="shared" si="64"/>
        <v>2.7324860925279637</v>
      </c>
      <c r="R107" s="67">
        <f t="shared" si="65"/>
        <v>2.5187563465671339</v>
      </c>
      <c r="S107" s="116">
        <f t="shared" si="43"/>
        <v>2.6256212195475488</v>
      </c>
      <c r="T107" s="65">
        <f t="shared" si="32"/>
        <v>76.317317555718788</v>
      </c>
      <c r="U107" s="65">
        <f t="shared" si="33"/>
        <v>72.7370538762423</v>
      </c>
      <c r="V107" s="113">
        <f t="shared" si="44"/>
        <v>74.527185715980551</v>
      </c>
      <c r="W107" s="112">
        <f t="shared" si="53"/>
        <v>2.8830147948047529</v>
      </c>
      <c r="X107" s="112">
        <f t="shared" si="54"/>
        <v>2.4909599395486159</v>
      </c>
      <c r="Y107" s="112">
        <f t="shared" si="45"/>
        <v>2.6869873671766844</v>
      </c>
      <c r="Z107" s="66">
        <f t="shared" si="66"/>
        <v>2.841374944214643</v>
      </c>
      <c r="AA107" s="66">
        <f t="shared" si="67"/>
        <v>2.6472826788649493</v>
      </c>
      <c r="AB107" s="112">
        <f t="shared" si="51"/>
        <v>2.7443288115397961</v>
      </c>
      <c r="AC107" s="216"/>
      <c r="AD107" s="133">
        <f t="shared" si="46"/>
        <v>0.95078222473867735</v>
      </c>
      <c r="AE107" s="133">
        <f t="shared" si="47"/>
        <v>0.95191695644118013</v>
      </c>
      <c r="AF107" s="133">
        <f t="shared" si="48"/>
        <v>0.95308713940499079</v>
      </c>
    </row>
    <row r="108" spans="1:32" x14ac:dyDescent="0.25">
      <c r="A108" s="39">
        <v>120</v>
      </c>
      <c r="B108" s="62">
        <f t="shared" si="27"/>
        <v>79.75622407288455</v>
      </c>
      <c r="C108" s="62">
        <f t="shared" si="34"/>
        <v>75.790536459078254</v>
      </c>
      <c r="D108" s="110">
        <f t="shared" si="39"/>
        <v>77.773380265981402</v>
      </c>
      <c r="E108" s="111">
        <f t="shared" si="36"/>
        <v>2.7815789791495744</v>
      </c>
      <c r="F108" s="111">
        <f t="shared" si="37"/>
        <v>2.3130947469018457</v>
      </c>
      <c r="G108" s="110">
        <f t="shared" si="40"/>
        <v>2.5473368630257101</v>
      </c>
      <c r="H108" s="63">
        <f t="shared" si="60"/>
        <v>2.6375611077944776</v>
      </c>
      <c r="I108" s="63">
        <f t="shared" si="61"/>
        <v>2.4033807029435139</v>
      </c>
      <c r="J108" s="110">
        <f t="shared" si="52"/>
        <v>2.5204709053689958</v>
      </c>
      <c r="K108" s="64">
        <f t="shared" si="58"/>
        <v>78.544235165686743</v>
      </c>
      <c r="L108" s="64">
        <f t="shared" si="59"/>
        <v>74.734578140697607</v>
      </c>
      <c r="M108" s="64">
        <f t="shared" si="41"/>
        <v>76.639406653192168</v>
      </c>
      <c r="N108" s="67">
        <f t="shared" si="62"/>
        <v>2.8423169772003143</v>
      </c>
      <c r="O108" s="67">
        <f t="shared" si="63"/>
        <v>2.410519593222737</v>
      </c>
      <c r="P108" s="116">
        <f t="shared" si="42"/>
        <v>2.6264182852115256</v>
      </c>
      <c r="Q108" s="67">
        <f t="shared" si="64"/>
        <v>2.7489573571187105</v>
      </c>
      <c r="R108" s="67">
        <f t="shared" si="65"/>
        <v>2.5334847148932225</v>
      </c>
      <c r="S108" s="116">
        <f t="shared" si="43"/>
        <v>2.6412210360059665</v>
      </c>
      <c r="T108" s="65">
        <f t="shared" si="32"/>
        <v>77.332246258488937</v>
      </c>
      <c r="U108" s="65">
        <f t="shared" si="33"/>
        <v>73.678619822316946</v>
      </c>
      <c r="V108" s="113">
        <f t="shared" si="44"/>
        <v>75.505433040402949</v>
      </c>
      <c r="W108" s="112">
        <f t="shared" si="53"/>
        <v>2.9030549752510542</v>
      </c>
      <c r="X108" s="112">
        <f t="shared" si="54"/>
        <v>2.5079444395436283</v>
      </c>
      <c r="Y108" s="112">
        <f t="shared" si="45"/>
        <v>2.7054997073973412</v>
      </c>
      <c r="Z108" s="66">
        <f t="shared" si="66"/>
        <v>2.8603536064429438</v>
      </c>
      <c r="AA108" s="66">
        <f t="shared" si="67"/>
        <v>2.663588726842931</v>
      </c>
      <c r="AB108" s="112">
        <f t="shared" si="51"/>
        <v>2.7619711666429376</v>
      </c>
      <c r="AC108" s="216"/>
      <c r="AD108" s="133">
        <f t="shared" si="46"/>
        <v>0.9502773901359437</v>
      </c>
      <c r="AE108" s="133">
        <f t="shared" si="47"/>
        <v>0.95149666914506481</v>
      </c>
      <c r="AF108" s="133">
        <f t="shared" si="48"/>
        <v>0.95275416643195043</v>
      </c>
    </row>
    <row r="109" spans="1:32" x14ac:dyDescent="0.25">
      <c r="A109" s="39">
        <v>121</v>
      </c>
      <c r="B109" s="62">
        <f t="shared" si="27"/>
        <v>80.811132064037352</v>
      </c>
      <c r="C109" s="62">
        <f t="shared" si="34"/>
        <v>76.753293788455323</v>
      </c>
      <c r="D109" s="110">
        <f t="shared" si="39"/>
        <v>78.782212926246331</v>
      </c>
      <c r="E109" s="111">
        <f t="shared" si="36"/>
        <v>2.7970079185461296</v>
      </c>
      <c r="F109" s="111">
        <f t="shared" si="37"/>
        <v>2.3265815143208766</v>
      </c>
      <c r="G109" s="110">
        <f t="shared" si="40"/>
        <v>2.5617947164335031</v>
      </c>
      <c r="H109" s="63">
        <f t="shared" si="60"/>
        <v>2.65142357627755</v>
      </c>
      <c r="I109" s="63">
        <f t="shared" si="61"/>
        <v>2.4165814617337049</v>
      </c>
      <c r="J109" s="110">
        <f t="shared" si="52"/>
        <v>2.5340025190056275</v>
      </c>
      <c r="K109" s="64">
        <f t="shared" si="58"/>
        <v>79.579222152772317</v>
      </c>
      <c r="L109" s="64">
        <f t="shared" si="59"/>
        <v>75.686993953527377</v>
      </c>
      <c r="M109" s="64">
        <f t="shared" si="41"/>
        <v>77.63310805314984</v>
      </c>
      <c r="N109" s="67">
        <f t="shared" si="62"/>
        <v>2.8598201645633723</v>
      </c>
      <c r="O109" s="67">
        <f t="shared" si="63"/>
        <v>2.4256385027105427</v>
      </c>
      <c r="P109" s="116">
        <f t="shared" si="42"/>
        <v>2.6427293336369573</v>
      </c>
      <c r="Q109" s="67">
        <f t="shared" si="64"/>
        <v>2.7653386003239455</v>
      </c>
      <c r="R109" s="67">
        <f t="shared" si="65"/>
        <v>2.5482569633937668</v>
      </c>
      <c r="S109" s="116">
        <f t="shared" si="43"/>
        <v>2.656797781858856</v>
      </c>
      <c r="T109" s="65">
        <f t="shared" si="32"/>
        <v>78.347312241507282</v>
      </c>
      <c r="U109" s="65">
        <f t="shared" si="33"/>
        <v>74.620694118599445</v>
      </c>
      <c r="V109" s="113">
        <f t="shared" si="44"/>
        <v>76.484003180053364</v>
      </c>
      <c r="W109" s="112">
        <f t="shared" si="53"/>
        <v>2.922632410580615</v>
      </c>
      <c r="X109" s="112">
        <f t="shared" si="54"/>
        <v>2.5246954911002084</v>
      </c>
      <c r="Y109" s="112">
        <f t="shared" si="45"/>
        <v>2.7236639508404119</v>
      </c>
      <c r="Z109" s="66">
        <f t="shared" si="66"/>
        <v>2.879253624370341</v>
      </c>
      <c r="AA109" s="66">
        <f t="shared" si="67"/>
        <v>2.6799324650538292</v>
      </c>
      <c r="AB109" s="112">
        <f t="shared" si="51"/>
        <v>2.7795930447120849</v>
      </c>
      <c r="AC109" s="216"/>
      <c r="AD109" s="133">
        <f t="shared" si="46"/>
        <v>0.94978614737921918</v>
      </c>
      <c r="AE109" s="133">
        <f t="shared" si="47"/>
        <v>0.95108989389500653</v>
      </c>
      <c r="AF109" s="133">
        <f t="shared" si="48"/>
        <v>0.9524346398582193</v>
      </c>
    </row>
    <row r="110" spans="1:32" x14ac:dyDescent="0.25">
      <c r="A110" s="39">
        <v>122</v>
      </c>
      <c r="B110" s="62">
        <f t="shared" si="27"/>
        <v>81.866205153481829</v>
      </c>
      <c r="C110" s="62">
        <f t="shared" si="34"/>
        <v>77.716265491476932</v>
      </c>
      <c r="D110" s="110">
        <f t="shared" si="39"/>
        <v>79.79123532247938</v>
      </c>
      <c r="E110" s="111">
        <f t="shared" si="36"/>
        <v>2.8119735383225821</v>
      </c>
      <c r="F110" s="111">
        <f t="shared" si="37"/>
        <v>2.3398619508935798</v>
      </c>
      <c r="G110" s="110">
        <f t="shared" si="40"/>
        <v>2.575917744608081</v>
      </c>
      <c r="H110" s="63">
        <f t="shared" si="60"/>
        <v>2.665193119277792</v>
      </c>
      <c r="I110" s="63">
        <f t="shared" si="61"/>
        <v>2.4298345876120462</v>
      </c>
      <c r="J110" s="110">
        <f t="shared" si="52"/>
        <v>2.5475138534449191</v>
      </c>
      <c r="K110" s="64">
        <f t="shared" si="58"/>
        <v>80.614293122722444</v>
      </c>
      <c r="L110" s="64">
        <f t="shared" si="59"/>
        <v>76.639717978579782</v>
      </c>
      <c r="M110" s="64">
        <f t="shared" si="41"/>
        <v>78.62700555065112</v>
      </c>
      <c r="N110" s="67">
        <f t="shared" si="62"/>
        <v>2.8768629185497803</v>
      </c>
      <c r="O110" s="67">
        <f t="shared" si="63"/>
        <v>2.4405382174859973</v>
      </c>
      <c r="P110" s="116">
        <f t="shared" si="42"/>
        <v>2.6587005680178888</v>
      </c>
      <c r="Q110" s="67">
        <f t="shared" si="64"/>
        <v>2.7816373303492483</v>
      </c>
      <c r="R110" s="67">
        <f t="shared" si="65"/>
        <v>2.5630755218310912</v>
      </c>
      <c r="S110" s="116">
        <f t="shared" si="43"/>
        <v>2.67235642609017</v>
      </c>
      <c r="T110" s="65">
        <f t="shared" si="32"/>
        <v>79.362381091963044</v>
      </c>
      <c r="U110" s="65">
        <f t="shared" si="33"/>
        <v>75.563170465682632</v>
      </c>
      <c r="V110" s="113">
        <f t="shared" si="44"/>
        <v>77.462775778822845</v>
      </c>
      <c r="W110" s="112">
        <f t="shared" si="53"/>
        <v>2.941752298776978</v>
      </c>
      <c r="X110" s="112">
        <f t="shared" si="54"/>
        <v>2.5412144840784152</v>
      </c>
      <c r="Y110" s="112">
        <f t="shared" si="45"/>
        <v>2.7414833914276966</v>
      </c>
      <c r="Z110" s="66">
        <f t="shared" si="66"/>
        <v>2.8980815414207046</v>
      </c>
      <c r="AA110" s="66">
        <f t="shared" si="67"/>
        <v>2.6963164560501363</v>
      </c>
      <c r="AB110" s="112">
        <f t="shared" si="51"/>
        <v>2.7971989987354204</v>
      </c>
      <c r="AC110" s="216"/>
      <c r="AD110" s="133">
        <f t="shared" si="46"/>
        <v>0.94930826884885355</v>
      </c>
      <c r="AE110" s="133">
        <f t="shared" si="47"/>
        <v>0.95069639650512094</v>
      </c>
      <c r="AF110" s="133">
        <f t="shared" si="48"/>
        <v>0.95212831855589131</v>
      </c>
    </row>
    <row r="111" spans="1:32" x14ac:dyDescent="0.25">
      <c r="A111" s="39">
        <v>123</v>
      </c>
      <c r="B111" s="62">
        <f t="shared" si="27"/>
        <v>82.921305328413908</v>
      </c>
      <c r="C111" s="62">
        <f t="shared" si="34"/>
        <v>78.679344076146648</v>
      </c>
      <c r="D111" s="110">
        <f t="shared" si="39"/>
        <v>80.800324702280278</v>
      </c>
      <c r="E111" s="111">
        <f t="shared" si="36"/>
        <v>2.8264847952187564</v>
      </c>
      <c r="F111" s="111">
        <f t="shared" si="37"/>
        <v>2.3529380760761693</v>
      </c>
      <c r="G111" s="110">
        <f t="shared" si="40"/>
        <v>2.5897114356474629</v>
      </c>
      <c r="H111" s="63">
        <f t="shared" si="60"/>
        <v>2.678878141026475</v>
      </c>
      <c r="I111" s="63">
        <f t="shared" si="61"/>
        <v>2.4431423494720308</v>
      </c>
      <c r="J111" s="110">
        <f t="shared" si="52"/>
        <v>2.5610102452492529</v>
      </c>
      <c r="K111" s="64">
        <f t="shared" si="58"/>
        <v>81.649312963645002</v>
      </c>
      <c r="L111" s="64">
        <f t="shared" si="59"/>
        <v>77.592644104111685</v>
      </c>
      <c r="M111" s="64">
        <f t="shared" si="41"/>
        <v>79.620978533878343</v>
      </c>
      <c r="N111" s="67">
        <f t="shared" si="62"/>
        <v>2.8934524556146863</v>
      </c>
      <c r="O111" s="67">
        <f t="shared" si="63"/>
        <v>2.4552204844548493</v>
      </c>
      <c r="P111" s="116">
        <f t="shared" si="42"/>
        <v>2.6743364700347678</v>
      </c>
      <c r="Q111" s="67">
        <f t="shared" si="64"/>
        <v>2.7978610236672745</v>
      </c>
      <c r="R111" s="67">
        <f t="shared" si="65"/>
        <v>2.577942796047564</v>
      </c>
      <c r="S111" s="116">
        <f t="shared" si="43"/>
        <v>2.6879019098574193</v>
      </c>
      <c r="T111" s="65">
        <f t="shared" si="32"/>
        <v>80.377320598876082</v>
      </c>
      <c r="U111" s="65">
        <f t="shared" si="33"/>
        <v>76.505944132076706</v>
      </c>
      <c r="V111" s="113">
        <f t="shared" si="44"/>
        <v>78.441632365476394</v>
      </c>
      <c r="W111" s="112">
        <f t="shared" si="53"/>
        <v>2.9604201160106158</v>
      </c>
      <c r="X111" s="112">
        <f t="shared" si="54"/>
        <v>2.5575028928335293</v>
      </c>
      <c r="Y111" s="112">
        <f t="shared" si="45"/>
        <v>2.7589615044220723</v>
      </c>
      <c r="Z111" s="66">
        <f t="shared" si="66"/>
        <v>2.916843906308074</v>
      </c>
      <c r="AA111" s="66">
        <f t="shared" si="67"/>
        <v>2.7127432426230977</v>
      </c>
      <c r="AB111" s="112">
        <f t="shared" si="51"/>
        <v>2.8147935744655861</v>
      </c>
      <c r="AC111" s="216"/>
      <c r="AD111" s="133">
        <f t="shared" si="46"/>
        <v>0.94884353019448064</v>
      </c>
      <c r="AE111" s="133">
        <f t="shared" si="47"/>
        <v>0.95031594618145065</v>
      </c>
      <c r="AF111" s="133">
        <f t="shared" si="48"/>
        <v>0.95183496491355413</v>
      </c>
    </row>
    <row r="112" spans="1:32" x14ac:dyDescent="0.25">
      <c r="A112" s="39">
        <v>124</v>
      </c>
      <c r="B112" s="62">
        <f t="shared" si="27"/>
        <v>83.976296806049433</v>
      </c>
      <c r="C112" s="62">
        <f t="shared" si="34"/>
        <v>79.64242375153583</v>
      </c>
      <c r="D112" s="110">
        <f t="shared" si="39"/>
        <v>81.809360278792639</v>
      </c>
      <c r="E112" s="111">
        <f t="shared" si="36"/>
        <v>2.8405508043406451</v>
      </c>
      <c r="F112" s="111">
        <f t="shared" si="37"/>
        <v>2.3658119527213191</v>
      </c>
      <c r="G112" s="110">
        <f t="shared" si="40"/>
        <v>2.6031813785309819</v>
      </c>
      <c r="H112" s="63">
        <f t="shared" si="60"/>
        <v>2.6924869674842897</v>
      </c>
      <c r="I112" s="63">
        <f t="shared" si="61"/>
        <v>2.4565069881318928</v>
      </c>
      <c r="J112" s="110">
        <f t="shared" si="52"/>
        <v>2.5744969778080913</v>
      </c>
      <c r="K112" s="64">
        <f t="shared" ref="K112:K143" si="68">(B112+T112)/2</f>
        <v>82.684148786807228</v>
      </c>
      <c r="L112" s="64">
        <f t="shared" ref="L112:L143" si="69">(C112+U112)/2</f>
        <v>78.545667856407263</v>
      </c>
      <c r="M112" s="64">
        <f t="shared" si="41"/>
        <v>80.614908321607246</v>
      </c>
      <c r="N112" s="67">
        <f t="shared" si="62"/>
        <v>2.9095961991680079</v>
      </c>
      <c r="O112" s="67">
        <f t="shared" si="63"/>
        <v>2.4696871120807851</v>
      </c>
      <c r="P112" s="116">
        <f t="shared" si="42"/>
        <v>2.6896416556243965</v>
      </c>
      <c r="Q112" s="67">
        <f t="shared" si="64"/>
        <v>2.8140171162179075</v>
      </c>
      <c r="R112" s="67">
        <f t="shared" si="65"/>
        <v>2.5928611677011073</v>
      </c>
      <c r="S112" s="116">
        <f t="shared" si="43"/>
        <v>2.7034391419595076</v>
      </c>
      <c r="T112" s="65">
        <f t="shared" si="32"/>
        <v>81.392000767565023</v>
      </c>
      <c r="U112" s="65">
        <f t="shared" si="33"/>
        <v>77.448911961278696</v>
      </c>
      <c r="V112" s="113">
        <f t="shared" si="44"/>
        <v>79.420456364421852</v>
      </c>
      <c r="W112" s="112">
        <f t="shared" si="53"/>
        <v>2.9786415939953712</v>
      </c>
      <c r="X112" s="112">
        <f t="shared" si="54"/>
        <v>2.5735622714402511</v>
      </c>
      <c r="Y112" s="112">
        <f t="shared" si="45"/>
        <v>2.7761019327178111</v>
      </c>
      <c r="Z112" s="66">
        <f t="shared" si="66"/>
        <v>2.9355472649515253</v>
      </c>
      <c r="AA112" s="66">
        <f t="shared" si="67"/>
        <v>2.7292153472703222</v>
      </c>
      <c r="AB112" s="112">
        <f t="shared" si="51"/>
        <v>2.832381306110924</v>
      </c>
      <c r="AC112" s="216"/>
      <c r="AD112" s="133">
        <f t="shared" si="46"/>
        <v>0.94839171028792735</v>
      </c>
      <c r="AE112" s="133">
        <f t="shared" si="47"/>
        <v>0.94994831547373582</v>
      </c>
      <c r="AF112" s="133">
        <f t="shared" si="48"/>
        <v>0.95155434478694301</v>
      </c>
    </row>
    <row r="113" spans="1:32" x14ac:dyDescent="0.25">
      <c r="A113" s="39">
        <v>125</v>
      </c>
      <c r="B113" s="62">
        <f t="shared" ref="B113:B176" si="70">(1.62 + ((297.67 - 1.62)*(($A113/190.42)^2.2051)))/(1 + (($A113 / 190.42)^2.2051))</f>
        <v>85.031046048805351</v>
      </c>
      <c r="C113" s="62">
        <f t="shared" ref="C113:C176" si="71">(1.582 + ((301.11 - 1.582)*(($A113/204.36)^2.0729)))/( 1 + ($A113 / 204.36)^2.0729)</f>
        <v>80.605400432451859</v>
      </c>
      <c r="D113" s="110">
        <f t="shared" si="39"/>
        <v>82.818223240628612</v>
      </c>
      <c r="E113" s="111">
        <f t="shared" si="36"/>
        <v>2.8541808125335124</v>
      </c>
      <c r="F113" s="111">
        <f t="shared" si="37"/>
        <v>2.3784856833461325</v>
      </c>
      <c r="G113" s="110">
        <f t="shared" si="40"/>
        <v>2.6163332479398225</v>
      </c>
      <c r="H113" s="63">
        <f t="shared" ref="H113:H144" si="72">E113/(B113-B112)</f>
        <v>2.7060278375511531</v>
      </c>
      <c r="I113" s="63">
        <f t="shared" ref="I113:I144" si="73">F113/(C113-C112)</f>
        <v>2.4699307163737392</v>
      </c>
      <c r="J113" s="110">
        <f t="shared" si="52"/>
        <v>2.5879792769624461</v>
      </c>
      <c r="K113" s="64">
        <f t="shared" si="68"/>
        <v>83.718669940505933</v>
      </c>
      <c r="L113" s="64">
        <f t="shared" si="69"/>
        <v>79.498686405133824</v>
      </c>
      <c r="M113" s="64">
        <f t="shared" si="41"/>
        <v>81.608678172819879</v>
      </c>
      <c r="N113" s="67">
        <f t="shared" ref="N113:N144" si="74">(E113+W113)/2</f>
        <v>2.9253017552560672</v>
      </c>
      <c r="O113" s="67">
        <f t="shared" ref="O113:O144" si="75">(F113+X113)/2</f>
        <v>2.4839399661943506</v>
      </c>
      <c r="P113" s="116">
        <f t="shared" si="42"/>
        <v>2.7046208607252087</v>
      </c>
      <c r="Q113" s="67">
        <f t="shared" ref="Q113:Q144" si="76">(H113+Z113)/2</f>
        <v>2.8301129951838946</v>
      </c>
      <c r="R113" s="67">
        <f t="shared" ref="R113:R144" si="77">(I113+AA113)/2</f>
        <v>2.6078329940435374</v>
      </c>
      <c r="S113" s="116">
        <f t="shared" si="43"/>
        <v>2.7189729946137158</v>
      </c>
      <c r="T113" s="65">
        <f t="shared" ref="T113:T176" si="78">(1.62+((284.51-1.62)*(($A113/188.9)^2.2013)))/(1+(($A113 / 188.9)^2.2013))</f>
        <v>82.406293832206515</v>
      </c>
      <c r="U113" s="65">
        <f t="shared" ref="U113:U176" si="79">(1.582+((300.01-1.582)*(($A113/207.81)^2.0705)))/(1+($A113/207.81)^2.0705)</f>
        <v>78.39197237781579</v>
      </c>
      <c r="V113" s="113">
        <f t="shared" si="44"/>
        <v>80.399133105011146</v>
      </c>
      <c r="W113" s="112">
        <f t="shared" si="53"/>
        <v>2.9964226979786219</v>
      </c>
      <c r="X113" s="112">
        <f t="shared" si="54"/>
        <v>2.5893942490425688</v>
      </c>
      <c r="Y113" s="112">
        <f t="shared" si="45"/>
        <v>2.7929084735105953</v>
      </c>
      <c r="Z113" s="66">
        <f t="shared" ref="Z113:Z144" si="80">W113/(T113-T112)</f>
        <v>2.9541981528166361</v>
      </c>
      <c r="AA113" s="66">
        <f t="shared" ref="AA113:AA144" si="81">X113/(U113-U112)</f>
        <v>2.7457352717133361</v>
      </c>
      <c r="AB113" s="112">
        <f t="shared" si="51"/>
        <v>2.8499667122649859</v>
      </c>
      <c r="AC113" s="216"/>
      <c r="AD113" s="133">
        <f t="shared" si="46"/>
        <v>0.94795259117695319</v>
      </c>
      <c r="AE113" s="133">
        <f t="shared" si="47"/>
        <v>0.94959328022804224</v>
      </c>
      <c r="AF113" s="133">
        <f t="shared" si="48"/>
        <v>0.95128622745048363</v>
      </c>
    </row>
    <row r="114" spans="1:32" x14ac:dyDescent="0.25">
      <c r="A114" s="39">
        <v>126</v>
      </c>
      <c r="B114" s="62">
        <f t="shared" si="70"/>
        <v>86.08542177755713</v>
      </c>
      <c r="C114" s="62">
        <f t="shared" si="71"/>
        <v>81.568171743043237</v>
      </c>
      <c r="D114" s="110">
        <f t="shared" si="39"/>
        <v>83.826796760300184</v>
      </c>
      <c r="E114" s="111">
        <f t="shared" si="36"/>
        <v>2.8673841729952798</v>
      </c>
      <c r="F114" s="111">
        <f t="shared" si="37"/>
        <v>2.3909614065369214</v>
      </c>
      <c r="G114" s="110">
        <f t="shared" si="40"/>
        <v>2.6291727897661006</v>
      </c>
      <c r="H114" s="63">
        <f t="shared" si="72"/>
        <v>2.7195088949836008</v>
      </c>
      <c r="I114" s="63">
        <f t="shared" si="73"/>
        <v>2.4834157190125272</v>
      </c>
      <c r="J114" s="110">
        <f t="shared" si="52"/>
        <v>2.601462306998064</v>
      </c>
      <c r="K114" s="64">
        <f t="shared" si="68"/>
        <v>84.752748022044642</v>
      </c>
      <c r="L114" s="64">
        <f t="shared" si="69"/>
        <v>80.451598567665116</v>
      </c>
      <c r="M114" s="64">
        <f t="shared" si="41"/>
        <v>82.602173294854879</v>
      </c>
      <c r="N114" s="67">
        <f t="shared" si="74"/>
        <v>2.9405768891950554</v>
      </c>
      <c r="O114" s="67">
        <f t="shared" si="75"/>
        <v>2.4979809659335728</v>
      </c>
      <c r="P114" s="116">
        <f t="shared" si="42"/>
        <v>2.7192789275643143</v>
      </c>
      <c r="Q114" s="67">
        <f t="shared" si="76"/>
        <v>2.8461559913328074</v>
      </c>
      <c r="R114" s="67">
        <f t="shared" si="77"/>
        <v>2.6228606077379641</v>
      </c>
      <c r="S114" s="116">
        <f t="shared" si="43"/>
        <v>2.7345082995353858</v>
      </c>
      <c r="T114" s="65">
        <f t="shared" si="78"/>
        <v>83.42007426653214</v>
      </c>
      <c r="U114" s="65">
        <f t="shared" si="79"/>
        <v>79.335025392287008</v>
      </c>
      <c r="V114" s="113">
        <f t="shared" si="44"/>
        <v>81.377549829409574</v>
      </c>
      <c r="W114" s="112">
        <f t="shared" si="53"/>
        <v>3.0137696053948315</v>
      </c>
      <c r="X114" s="112">
        <f t="shared" si="54"/>
        <v>2.6050005253302242</v>
      </c>
      <c r="Y114" s="112">
        <f t="shared" si="45"/>
        <v>2.8093850653625276</v>
      </c>
      <c r="Z114" s="66">
        <f t="shared" si="80"/>
        <v>2.9728030876820144</v>
      </c>
      <c r="AA114" s="66">
        <f t="shared" si="81"/>
        <v>2.7623054964634006</v>
      </c>
      <c r="AB114" s="112">
        <f t="shared" si="51"/>
        <v>2.8675542920727075</v>
      </c>
      <c r="AC114" s="216"/>
      <c r="AD114" s="133">
        <f t="shared" si="46"/>
        <v>0.94752595803983664</v>
      </c>
      <c r="AE114" s="133">
        <f t="shared" si="47"/>
        <v>0.94925061954025636</v>
      </c>
      <c r="AF114" s="133">
        <f t="shared" si="48"/>
        <v>0.95103038554972807</v>
      </c>
    </row>
    <row r="115" spans="1:32" x14ac:dyDescent="0.25">
      <c r="A115" s="39">
        <v>127</v>
      </c>
      <c r="B115" s="62">
        <f t="shared" si="70"/>
        <v>87.139294983018914</v>
      </c>
      <c r="C115" s="62">
        <f t="shared" si="71"/>
        <v>82.530637019369365</v>
      </c>
      <c r="D115" s="110">
        <f t="shared" si="39"/>
        <v>84.834966001194147</v>
      </c>
      <c r="E115" s="111">
        <f t="shared" si="36"/>
        <v>2.8801703211391203</v>
      </c>
      <c r="F115" s="111">
        <f t="shared" si="37"/>
        <v>2.4032412934890224</v>
      </c>
      <c r="G115" s="110">
        <f t="shared" si="40"/>
        <v>2.6417058073140716</v>
      </c>
      <c r="H115" s="63">
        <f t="shared" si="72"/>
        <v>2.7329381809997662</v>
      </c>
      <c r="I115" s="63">
        <f t="shared" si="73"/>
        <v>2.4969641529952633</v>
      </c>
      <c r="J115" s="110">
        <f t="shared" si="52"/>
        <v>2.614951166997515</v>
      </c>
      <c r="K115" s="64">
        <f t="shared" si="68"/>
        <v>85.786256887864511</v>
      </c>
      <c r="L115" s="64">
        <f t="shared" si="69"/>
        <v>81.404304812398593</v>
      </c>
      <c r="M115" s="64">
        <f t="shared" si="41"/>
        <v>83.595280850131559</v>
      </c>
      <c r="N115" s="67">
        <f t="shared" si="74"/>
        <v>2.95542950317336</v>
      </c>
      <c r="O115" s="67">
        <f t="shared" si="75"/>
        <v>2.5118120798157491</v>
      </c>
      <c r="P115" s="116">
        <f t="shared" si="42"/>
        <v>2.7336207914945545</v>
      </c>
      <c r="Q115" s="67">
        <f t="shared" si="76"/>
        <v>2.862153371912699</v>
      </c>
      <c r="R115" s="67">
        <f t="shared" si="77"/>
        <v>2.6379463167144221</v>
      </c>
      <c r="S115" s="116">
        <f t="shared" si="43"/>
        <v>2.7500498443135606</v>
      </c>
      <c r="T115" s="65">
        <f t="shared" si="78"/>
        <v>84.433218792710093</v>
      </c>
      <c r="U115" s="65">
        <f t="shared" si="79"/>
        <v>80.27797260542782</v>
      </c>
      <c r="V115" s="113">
        <f t="shared" si="44"/>
        <v>82.355595699068957</v>
      </c>
      <c r="W115" s="112">
        <f t="shared" si="53"/>
        <v>3.0306886852075996</v>
      </c>
      <c r="X115" s="112">
        <f t="shared" si="54"/>
        <v>2.6203828661424757</v>
      </c>
      <c r="Y115" s="112">
        <f t="shared" si="45"/>
        <v>2.8255357756750374</v>
      </c>
      <c r="Z115" s="66">
        <f t="shared" si="80"/>
        <v>2.9913685628256315</v>
      </c>
      <c r="AA115" s="66">
        <f t="shared" si="81"/>
        <v>2.7789284804335805</v>
      </c>
      <c r="AB115" s="112">
        <f t="shared" si="51"/>
        <v>2.8851485216296062</v>
      </c>
      <c r="AC115" s="216"/>
      <c r="AD115" s="133">
        <f t="shared" si="46"/>
        <v>0.94711159914080489</v>
      </c>
      <c r="AE115" s="133">
        <f t="shared" si="47"/>
        <v>0.94892011571044776</v>
      </c>
      <c r="AF115" s="133">
        <f t="shared" si="48"/>
        <v>0.95078659505468199</v>
      </c>
    </row>
    <row r="116" spans="1:32" x14ac:dyDescent="0.25">
      <c r="A116" s="39">
        <v>128</v>
      </c>
      <c r="B116" s="62">
        <f t="shared" si="70"/>
        <v>88.19253893529293</v>
      </c>
      <c r="C116" s="62">
        <f t="shared" si="71"/>
        <v>83.492697310963294</v>
      </c>
      <c r="D116" s="110">
        <f t="shared" si="39"/>
        <v>85.842618123128119</v>
      </c>
      <c r="E116" s="111">
        <f t="shared" si="36"/>
        <v>2.8925487517079773</v>
      </c>
      <c r="F116" s="111">
        <f t="shared" si="37"/>
        <v>2.4153275446797156</v>
      </c>
      <c r="G116" s="110">
        <f t="shared" si="40"/>
        <v>2.6539381481938467</v>
      </c>
      <c r="H116" s="63">
        <f t="shared" si="72"/>
        <v>2.7463236275535148</v>
      </c>
      <c r="I116" s="63">
        <f t="shared" si="73"/>
        <v>2.5105781475275659</v>
      </c>
      <c r="J116" s="110">
        <f t="shared" si="52"/>
        <v>2.6284508875405406</v>
      </c>
      <c r="K116" s="64">
        <f t="shared" si="68"/>
        <v>86.819072661876405</v>
      </c>
      <c r="L116" s="64">
        <f t="shared" si="69"/>
        <v>82.356707261092851</v>
      </c>
      <c r="M116" s="64">
        <f t="shared" si="41"/>
        <v>84.58788996148462</v>
      </c>
      <c r="N116" s="67">
        <f t="shared" si="74"/>
        <v>2.9698676148344805</v>
      </c>
      <c r="O116" s="67">
        <f t="shared" si="75"/>
        <v>2.5254353219396082</v>
      </c>
      <c r="P116" s="116">
        <f t="shared" si="42"/>
        <v>2.7476514683870441</v>
      </c>
      <c r="Q116" s="67">
        <f t="shared" si="76"/>
        <v>2.8781123340882013</v>
      </c>
      <c r="R116" s="67">
        <f t="shared" si="77"/>
        <v>2.6530924040613599</v>
      </c>
      <c r="S116" s="116">
        <f t="shared" si="43"/>
        <v>2.7656023690747809</v>
      </c>
      <c r="T116" s="65">
        <f t="shared" si="78"/>
        <v>85.445606388459879</v>
      </c>
      <c r="U116" s="65">
        <f t="shared" si="79"/>
        <v>81.220717211222407</v>
      </c>
      <c r="V116" s="113">
        <f t="shared" si="44"/>
        <v>83.33316179984115</v>
      </c>
      <c r="W116" s="112">
        <f t="shared" si="53"/>
        <v>3.0471864779609836</v>
      </c>
      <c r="X116" s="112">
        <f t="shared" si="54"/>
        <v>2.6355430991995008</v>
      </c>
      <c r="Y116" s="112">
        <f t="shared" si="45"/>
        <v>2.8413647885802424</v>
      </c>
      <c r="Z116" s="66">
        <f t="shared" si="80"/>
        <v>3.0099010406228874</v>
      </c>
      <c r="AA116" s="66">
        <f t="shared" si="81"/>
        <v>2.7956066605951539</v>
      </c>
      <c r="AB116" s="112">
        <f t="shared" si="51"/>
        <v>2.9027538506090207</v>
      </c>
      <c r="AC116" s="216"/>
      <c r="AD116" s="133">
        <f t="shared" si="46"/>
        <v>0.94670930578631007</v>
      </c>
      <c r="AE116" s="133">
        <f t="shared" si="47"/>
        <v>0.94860155419808989</v>
      </c>
      <c r="AF116" s="133">
        <f t="shared" si="48"/>
        <v>0.95055463521401051</v>
      </c>
    </row>
    <row r="117" spans="1:32" x14ac:dyDescent="0.25">
      <c r="A117" s="39">
        <v>129</v>
      </c>
      <c r="B117" s="62">
        <f t="shared" si="70"/>
        <v>89.245029191635751</v>
      </c>
      <c r="C117" s="62">
        <f t="shared" si="71"/>
        <v>84.454255381415791</v>
      </c>
      <c r="D117" s="110">
        <f t="shared" si="39"/>
        <v>86.849642286525778</v>
      </c>
      <c r="E117" s="111">
        <f t="shared" si="36"/>
        <v>2.9045289971378949</v>
      </c>
      <c r="F117" s="111">
        <f t="shared" si="37"/>
        <v>2.4272223866721454</v>
      </c>
      <c r="G117" s="110">
        <f t="shared" si="40"/>
        <v>2.6658756919050202</v>
      </c>
      <c r="H117" s="63">
        <f t="shared" si="72"/>
        <v>2.7596730512551368</v>
      </c>
      <c r="I117" s="63">
        <f t="shared" si="73"/>
        <v>2.5242598042257862</v>
      </c>
      <c r="J117" s="110">
        <f t="shared" si="52"/>
        <v>2.6419664277404618</v>
      </c>
      <c r="K117" s="64">
        <f t="shared" si="68"/>
        <v>87.851073742042274</v>
      </c>
      <c r="L117" s="64">
        <f t="shared" si="69"/>
        <v>83.308709690252272</v>
      </c>
      <c r="M117" s="64">
        <f t="shared" si="41"/>
        <v>85.579891716147273</v>
      </c>
      <c r="N117" s="67">
        <f t="shared" si="74"/>
        <v>2.9838993368472826</v>
      </c>
      <c r="O117" s="67">
        <f t="shared" si="75"/>
        <v>2.5388527483168244</v>
      </c>
      <c r="P117" s="116">
        <f t="shared" si="42"/>
        <v>2.7613760425820537</v>
      </c>
      <c r="Q117" s="67">
        <f t="shared" si="76"/>
        <v>2.8940399989018832</v>
      </c>
      <c r="R117" s="67">
        <f t="shared" si="77"/>
        <v>2.6683011279505404</v>
      </c>
      <c r="S117" s="116">
        <f t="shared" si="43"/>
        <v>2.7811705634262118</v>
      </c>
      <c r="T117" s="65">
        <f t="shared" si="78"/>
        <v>86.457118292448797</v>
      </c>
      <c r="U117" s="65">
        <f t="shared" si="79"/>
        <v>82.163163999088738</v>
      </c>
      <c r="V117" s="113">
        <f t="shared" si="44"/>
        <v>84.310141145768768</v>
      </c>
      <c r="W117" s="112">
        <f t="shared" si="53"/>
        <v>3.0632696765566698</v>
      </c>
      <c r="X117" s="112">
        <f t="shared" si="54"/>
        <v>2.6504831099615034</v>
      </c>
      <c r="Y117" s="112">
        <f t="shared" si="45"/>
        <v>2.8568763932590864</v>
      </c>
      <c r="Z117" s="66">
        <f t="shared" si="80"/>
        <v>3.0284069465486296</v>
      </c>
      <c r="AA117" s="66">
        <f t="shared" si="81"/>
        <v>2.8123424516752951</v>
      </c>
      <c r="AB117" s="112">
        <f t="shared" si="51"/>
        <v>2.9203746991119623</v>
      </c>
      <c r="AC117" s="216"/>
      <c r="AD117" s="133">
        <f t="shared" si="46"/>
        <v>0.94631887228214429</v>
      </c>
      <c r="AE117" s="133">
        <f t="shared" si="47"/>
        <v>0.94829472357813427</v>
      </c>
      <c r="AF117" s="133">
        <f t="shared" si="48"/>
        <v>0.95033428851010993</v>
      </c>
    </row>
    <row r="118" spans="1:32" x14ac:dyDescent="0.25">
      <c r="A118" s="39">
        <v>130</v>
      </c>
      <c r="B118" s="62">
        <f t="shared" si="70"/>
        <v>90.296643602489482</v>
      </c>
      <c r="C118" s="62">
        <f t="shared" si="71"/>
        <v>85.415215708008915</v>
      </c>
      <c r="D118" s="110">
        <f t="shared" si="39"/>
        <v>87.855929655249199</v>
      </c>
      <c r="E118" s="111">
        <f t="shared" si="36"/>
        <v>2.9161206071617731</v>
      </c>
      <c r="F118" s="111">
        <f t="shared" si="37"/>
        <v>2.4389280690480408</v>
      </c>
      <c r="G118" s="110">
        <f t="shared" si="40"/>
        <v>2.6775243381049068</v>
      </c>
      <c r="H118" s="63">
        <f t="shared" si="72"/>
        <v>2.7729941479162346</v>
      </c>
      <c r="I118" s="63">
        <f t="shared" si="73"/>
        <v>2.5380111972933679</v>
      </c>
      <c r="J118" s="110">
        <f t="shared" si="52"/>
        <v>2.6555026726048014</v>
      </c>
      <c r="K118" s="64">
        <f t="shared" si="68"/>
        <v>88.882140805254053</v>
      </c>
      <c r="L118" s="64">
        <f t="shared" si="69"/>
        <v>84.260217531585056</v>
      </c>
      <c r="M118" s="64">
        <f t="shared" si="41"/>
        <v>86.571179168419548</v>
      </c>
      <c r="N118" s="67">
        <f t="shared" si="74"/>
        <v>2.997532857465754</v>
      </c>
      <c r="O118" s="67">
        <f t="shared" si="75"/>
        <v>2.552066453331709</v>
      </c>
      <c r="P118" s="116">
        <f t="shared" si="42"/>
        <v>2.7747996553987315</v>
      </c>
      <c r="Q118" s="67">
        <f t="shared" si="76"/>
        <v>2.909943405746672</v>
      </c>
      <c r="R118" s="67">
        <f t="shared" si="77"/>
        <v>2.6835747215944989</v>
      </c>
      <c r="S118" s="116">
        <f t="shared" si="43"/>
        <v>2.7967590636705855</v>
      </c>
      <c r="T118" s="65">
        <f t="shared" si="78"/>
        <v>87.467638008018625</v>
      </c>
      <c r="U118" s="65">
        <f t="shared" si="79"/>
        <v>83.105219355161182</v>
      </c>
      <c r="V118" s="113">
        <f t="shared" si="44"/>
        <v>85.286428681589911</v>
      </c>
      <c r="W118" s="112">
        <f t="shared" si="53"/>
        <v>3.0789451077697354</v>
      </c>
      <c r="X118" s="112">
        <f t="shared" si="54"/>
        <v>2.6652048376153776</v>
      </c>
      <c r="Y118" s="112">
        <f t="shared" si="45"/>
        <v>2.8720749726925563</v>
      </c>
      <c r="Z118" s="66">
        <f t="shared" si="80"/>
        <v>3.0468926635771094</v>
      </c>
      <c r="AA118" s="66">
        <f t="shared" si="81"/>
        <v>2.8291382458956296</v>
      </c>
      <c r="AB118" s="112">
        <f t="shared" si="51"/>
        <v>2.9380154547363695</v>
      </c>
      <c r="AC118" s="216"/>
      <c r="AD118" s="133">
        <f t="shared" si="46"/>
        <v>0.94594009589138273</v>
      </c>
      <c r="AE118" s="133">
        <f t="shared" si="47"/>
        <v>0.94799941549792432</v>
      </c>
      <c r="AF118" s="133">
        <f t="shared" si="48"/>
        <v>0.95012534061503395</v>
      </c>
    </row>
    <row r="119" spans="1:32" x14ac:dyDescent="0.25">
      <c r="A119" s="39">
        <v>131</v>
      </c>
      <c r="B119" s="62">
        <f t="shared" si="70"/>
        <v>91.347262315825745</v>
      </c>
      <c r="C119" s="62">
        <f t="shared" si="71"/>
        <v>86.375484480427815</v>
      </c>
      <c r="D119" s="110">
        <f t="shared" si="39"/>
        <v>88.861373398126773</v>
      </c>
      <c r="E119" s="111">
        <f t="shared" si="36"/>
        <v>2.9273331296402989</v>
      </c>
      <c r="F119" s="111">
        <f t="shared" si="37"/>
        <v>2.4504468614668604</v>
      </c>
      <c r="G119" s="110">
        <f t="shared" si="40"/>
        <v>2.6888899955535797</v>
      </c>
      <c r="H119" s="63">
        <f t="shared" si="72"/>
        <v>2.7862944876971474</v>
      </c>
      <c r="I119" s="63">
        <f t="shared" si="73"/>
        <v>2.5518343737183384</v>
      </c>
      <c r="J119" s="110">
        <f t="shared" si="52"/>
        <v>2.6690644307077429</v>
      </c>
      <c r="K119" s="64">
        <f t="shared" si="68"/>
        <v>89.912156810558685</v>
      </c>
      <c r="L119" s="64">
        <f t="shared" si="69"/>
        <v>85.211137871561803</v>
      </c>
      <c r="M119" s="64">
        <f t="shared" si="41"/>
        <v>87.561647341060251</v>
      </c>
      <c r="N119" s="67">
        <f t="shared" si="74"/>
        <v>3.0107764220761526</v>
      </c>
      <c r="O119" s="67">
        <f t="shared" si="75"/>
        <v>2.5650785663276583</v>
      </c>
      <c r="P119" s="116">
        <f t="shared" si="42"/>
        <v>2.7879274942019054</v>
      </c>
      <c r="Q119" s="67">
        <f t="shared" si="76"/>
        <v>2.9258295073333409</v>
      </c>
      <c r="R119" s="67">
        <f t="shared" si="77"/>
        <v>2.6989153932335235</v>
      </c>
      <c r="S119" s="116">
        <f t="shared" si="43"/>
        <v>2.8123724502834322</v>
      </c>
      <c r="T119" s="65">
        <f t="shared" si="78"/>
        <v>88.477051305291624</v>
      </c>
      <c r="U119" s="65">
        <f t="shared" si="79"/>
        <v>84.046791262695791</v>
      </c>
      <c r="V119" s="113">
        <f t="shared" si="44"/>
        <v>86.261921283993701</v>
      </c>
      <c r="W119" s="112">
        <f t="shared" si="53"/>
        <v>3.0942197145120063</v>
      </c>
      <c r="X119" s="112">
        <f t="shared" si="54"/>
        <v>2.6797102711884557</v>
      </c>
      <c r="Y119" s="112">
        <f t="shared" si="45"/>
        <v>2.8869649928502312</v>
      </c>
      <c r="Z119" s="66">
        <f t="shared" si="80"/>
        <v>3.0653645269695349</v>
      </c>
      <c r="AA119" s="66">
        <f t="shared" si="81"/>
        <v>2.8459964127487085</v>
      </c>
      <c r="AB119" s="112">
        <f t="shared" si="51"/>
        <v>2.9556804698591215</v>
      </c>
      <c r="AC119" s="216"/>
      <c r="AD119" s="133">
        <f t="shared" si="46"/>
        <v>0.9455727767931521</v>
      </c>
      <c r="AE119" s="133">
        <f t="shared" si="47"/>
        <v>0.94771542463493852</v>
      </c>
      <c r="AF119" s="133">
        <f t="shared" si="48"/>
        <v>0.94992758034725699</v>
      </c>
    </row>
    <row r="120" spans="1:32" x14ac:dyDescent="0.25">
      <c r="A120" s="39">
        <v>132</v>
      </c>
      <c r="B120" s="62">
        <f t="shared" si="70"/>
        <v>92.396767779851615</v>
      </c>
      <c r="C120" s="62">
        <f t="shared" si="71"/>
        <v>87.334969598578482</v>
      </c>
      <c r="D120" s="110">
        <f t="shared" si="39"/>
        <v>89.865868689215048</v>
      </c>
      <c r="E120" s="111">
        <f t="shared" si="36"/>
        <v>2.9381760926024234</v>
      </c>
      <c r="F120" s="111">
        <f t="shared" si="37"/>
        <v>2.4617810508489355</v>
      </c>
      <c r="G120" s="110">
        <f t="shared" si="40"/>
        <v>2.6999785717256795</v>
      </c>
      <c r="H120" s="63">
        <f t="shared" si="72"/>
        <v>2.7995815108305124</v>
      </c>
      <c r="I120" s="63">
        <f t="shared" si="73"/>
        <v>2.5657313534928265</v>
      </c>
      <c r="J120" s="110">
        <f t="shared" si="52"/>
        <v>2.6826564321616697</v>
      </c>
      <c r="K120" s="64">
        <f t="shared" si="68"/>
        <v>90.941007000778683</v>
      </c>
      <c r="L120" s="64">
        <f t="shared" si="69"/>
        <v>86.161379450101123</v>
      </c>
      <c r="M120" s="64">
        <f t="shared" si="41"/>
        <v>88.551193225439903</v>
      </c>
      <c r="N120" s="67">
        <f t="shared" si="74"/>
        <v>3.0236383157255009</v>
      </c>
      <c r="O120" s="67">
        <f t="shared" si="75"/>
        <v>2.5778912483188279</v>
      </c>
      <c r="P120" s="116">
        <f t="shared" si="42"/>
        <v>2.8007647820221644</v>
      </c>
      <c r="Q120" s="67">
        <f t="shared" si="76"/>
        <v>2.9417051651341621</v>
      </c>
      <c r="R120" s="67">
        <f t="shared" si="77"/>
        <v>2.7143253261511289</v>
      </c>
      <c r="S120" s="116">
        <f t="shared" si="43"/>
        <v>2.8280152456426455</v>
      </c>
      <c r="T120" s="65">
        <f t="shared" si="78"/>
        <v>89.485246221705751</v>
      </c>
      <c r="U120" s="65">
        <f t="shared" si="79"/>
        <v>84.987789301623764</v>
      </c>
      <c r="V120" s="113">
        <f t="shared" si="44"/>
        <v>87.236517761664757</v>
      </c>
      <c r="W120" s="112">
        <f t="shared" si="53"/>
        <v>3.1091005388485788</v>
      </c>
      <c r="X120" s="112">
        <f t="shared" si="54"/>
        <v>2.6940014457887207</v>
      </c>
      <c r="Y120" s="112">
        <f t="shared" si="45"/>
        <v>2.9015509923186498</v>
      </c>
      <c r="Z120" s="66">
        <f t="shared" si="80"/>
        <v>3.0838288194378118</v>
      </c>
      <c r="AA120" s="66">
        <f t="shared" si="81"/>
        <v>2.8629192988094312</v>
      </c>
      <c r="AB120" s="112">
        <f t="shared" si="51"/>
        <v>2.9733740591236213</v>
      </c>
      <c r="AC120" s="216"/>
      <c r="AD120" s="133">
        <f t="shared" si="46"/>
        <v>0.94521671804219831</v>
      </c>
      <c r="AE120" s="133">
        <f t="shared" si="47"/>
        <v>0.94744254865534272</v>
      </c>
      <c r="AF120" s="133">
        <f t="shared" si="48"/>
        <v>0.94974079962925695</v>
      </c>
    </row>
    <row r="121" spans="1:32" x14ac:dyDescent="0.25">
      <c r="A121" s="39">
        <v>133</v>
      </c>
      <c r="B121" s="62">
        <f t="shared" si="70"/>
        <v>93.445044744126136</v>
      </c>
      <c r="C121" s="62">
        <f t="shared" si="71"/>
        <v>88.293580669540177</v>
      </c>
      <c r="D121" s="110">
        <f t="shared" si="39"/>
        <v>90.869312706833156</v>
      </c>
      <c r="E121" s="111">
        <f t="shared" si="36"/>
        <v>2.9486589874738107</v>
      </c>
      <c r="F121" s="111">
        <f t="shared" si="37"/>
        <v>2.4729329386800476</v>
      </c>
      <c r="G121" s="110">
        <f t="shared" si="40"/>
        <v>2.7107959630769294</v>
      </c>
      <c r="H121" s="63">
        <f t="shared" si="72"/>
        <v>2.8128625238984273</v>
      </c>
      <c r="I121" s="63">
        <f t="shared" si="73"/>
        <v>2.5797041298502426</v>
      </c>
      <c r="J121" s="110">
        <f t="shared" si="52"/>
        <v>2.6962833268743349</v>
      </c>
      <c r="K121" s="64">
        <f t="shared" si="68"/>
        <v>91.968578902576951</v>
      </c>
      <c r="L121" s="64">
        <f t="shared" si="69"/>
        <v>87.110852658408774</v>
      </c>
      <c r="M121" s="64">
        <f t="shared" si="41"/>
        <v>89.539715780492855</v>
      </c>
      <c r="N121" s="67">
        <f t="shared" si="74"/>
        <v>3.0361268466218601</v>
      </c>
      <c r="O121" s="67">
        <f t="shared" si="75"/>
        <v>2.5905066888253212</v>
      </c>
      <c r="P121" s="116">
        <f t="shared" si="42"/>
        <v>2.8133167677235908</v>
      </c>
      <c r="Q121" s="67">
        <f t="shared" si="76"/>
        <v>2.9575771452882957</v>
      </c>
      <c r="R121" s="67">
        <f t="shared" si="77"/>
        <v>2.7298066787167912</v>
      </c>
      <c r="S121" s="116">
        <f t="shared" si="43"/>
        <v>2.8436919120025435</v>
      </c>
      <c r="T121" s="65">
        <f t="shared" si="78"/>
        <v>90.492113061027752</v>
      </c>
      <c r="U121" s="65">
        <f t="shared" si="79"/>
        <v>85.928124647277372</v>
      </c>
      <c r="V121" s="113">
        <f t="shared" si="44"/>
        <v>88.210118854152569</v>
      </c>
      <c r="W121" s="112">
        <f t="shared" si="53"/>
        <v>3.1235947057699094</v>
      </c>
      <c r="X121" s="112">
        <f t="shared" si="54"/>
        <v>2.7080804389705948</v>
      </c>
      <c r="Y121" s="112">
        <f t="shared" si="45"/>
        <v>2.9158375723702523</v>
      </c>
      <c r="Z121" s="66">
        <f t="shared" si="80"/>
        <v>3.1022917666781642</v>
      </c>
      <c r="AA121" s="66">
        <f t="shared" si="81"/>
        <v>2.8799092275833393</v>
      </c>
      <c r="AB121" s="112">
        <f t="shared" si="51"/>
        <v>2.991100497130752</v>
      </c>
      <c r="AC121" s="216"/>
      <c r="AD121" s="133">
        <f t="shared" si="46"/>
        <v>0.94487172552924725</v>
      </c>
      <c r="AE121" s="133">
        <f t="shared" si="47"/>
        <v>0.94718058817333683</v>
      </c>
      <c r="AF121" s="133">
        <f t="shared" si="48"/>
        <v>0.94956479344589473</v>
      </c>
    </row>
    <row r="122" spans="1:32" x14ac:dyDescent="0.25">
      <c r="A122" s="39">
        <v>134</v>
      </c>
      <c r="B122" s="62">
        <f t="shared" si="70"/>
        <v>94.491980259136554</v>
      </c>
      <c r="C122" s="62">
        <f t="shared" si="71"/>
        <v>89.251229003680336</v>
      </c>
      <c r="D122" s="110">
        <f t="shared" si="39"/>
        <v>91.871604631408445</v>
      </c>
      <c r="E122" s="111">
        <f t="shared" si="36"/>
        <v>2.9587912534681666</v>
      </c>
      <c r="F122" s="111">
        <f t="shared" si="37"/>
        <v>2.4839048384348175</v>
      </c>
      <c r="G122" s="110">
        <f t="shared" si="40"/>
        <v>2.7213480459514923</v>
      </c>
      <c r="H122" s="63">
        <f t="shared" si="72"/>
        <v>2.8261446966375234</v>
      </c>
      <c r="I122" s="63">
        <f t="shared" si="73"/>
        <v>2.5937546695207607</v>
      </c>
      <c r="J122" s="110">
        <f t="shared" si="52"/>
        <v>2.7099496830791421</v>
      </c>
      <c r="K122" s="64">
        <f t="shared" si="68"/>
        <v>92.994762325015529</v>
      </c>
      <c r="L122" s="64">
        <f t="shared" si="69"/>
        <v>88.059469535997266</v>
      </c>
      <c r="M122" s="64">
        <f t="shared" si="41"/>
        <v>90.527115930506397</v>
      </c>
      <c r="N122" s="67">
        <f t="shared" si="74"/>
        <v>3.0482503305934818</v>
      </c>
      <c r="O122" s="67">
        <f t="shared" si="75"/>
        <v>2.6029271028300229</v>
      </c>
      <c r="P122" s="116">
        <f t="shared" si="42"/>
        <v>2.8255887167117524</v>
      </c>
      <c r="Q122" s="67">
        <f t="shared" si="76"/>
        <v>2.9734521149481901</v>
      </c>
      <c r="R122" s="67">
        <f t="shared" si="77"/>
        <v>2.7453615844529855</v>
      </c>
      <c r="S122" s="116">
        <f t="shared" si="43"/>
        <v>2.859406849700588</v>
      </c>
      <c r="T122" s="65">
        <f t="shared" si="78"/>
        <v>91.497544390894504</v>
      </c>
      <c r="U122" s="65">
        <f t="shared" si="79"/>
        <v>86.867710068314182</v>
      </c>
      <c r="V122" s="113">
        <f t="shared" si="44"/>
        <v>89.18262722960435</v>
      </c>
      <c r="W122" s="112">
        <f t="shared" si="53"/>
        <v>3.1377094077187975</v>
      </c>
      <c r="X122" s="112">
        <f t="shared" si="54"/>
        <v>2.7219493672252284</v>
      </c>
      <c r="Y122" s="112">
        <f t="shared" si="45"/>
        <v>2.9298293874720129</v>
      </c>
      <c r="Z122" s="66">
        <f t="shared" si="80"/>
        <v>3.1207595332588567</v>
      </c>
      <c r="AA122" s="66">
        <f t="shared" si="81"/>
        <v>2.8969684993852103</v>
      </c>
      <c r="AB122" s="112">
        <f t="shared" si="51"/>
        <v>3.0088640163220335</v>
      </c>
      <c r="AC122" s="216"/>
      <c r="AD122" s="133">
        <f t="shared" si="46"/>
        <v>0.94453760794213559</v>
      </c>
      <c r="AE122" s="133">
        <f t="shared" si="47"/>
        <v>0.94692934671127527</v>
      </c>
      <c r="AF122" s="133">
        <f t="shared" si="48"/>
        <v>0.94939935980357237</v>
      </c>
    </row>
    <row r="123" spans="1:32" x14ac:dyDescent="0.25">
      <c r="A123" s="39">
        <v>135</v>
      </c>
      <c r="B123" s="62">
        <f t="shared" si="70"/>
        <v>95.537463674383162</v>
      </c>
      <c r="C123" s="62">
        <f t="shared" si="71"/>
        <v>90.207827609960262</v>
      </c>
      <c r="D123" s="110">
        <f t="shared" si="39"/>
        <v>92.872645642171705</v>
      </c>
      <c r="E123" s="111">
        <f t="shared" si="36"/>
        <v>2.968582263113289</v>
      </c>
      <c r="F123" s="111">
        <f t="shared" si="37"/>
        <v>2.4946990731162022</v>
      </c>
      <c r="G123" s="110">
        <f t="shared" si="40"/>
        <v>2.7316406681147454</v>
      </c>
      <c r="H123" s="63">
        <f t="shared" si="72"/>
        <v>2.8394350592477475</v>
      </c>
      <c r="I123" s="63">
        <f t="shared" si="73"/>
        <v>2.6078849130020463</v>
      </c>
      <c r="J123" s="110">
        <f t="shared" si="52"/>
        <v>2.7236599861248969</v>
      </c>
      <c r="K123" s="64">
        <f t="shared" si="68"/>
        <v>94.019449356657091</v>
      </c>
      <c r="L123" s="64">
        <f t="shared" si="69"/>
        <v>89.007143766912193</v>
      </c>
      <c r="M123" s="64">
        <f t="shared" si="41"/>
        <v>91.513296561784642</v>
      </c>
      <c r="N123" s="67">
        <f t="shared" si="74"/>
        <v>3.0600170764911141</v>
      </c>
      <c r="O123" s="67">
        <f t="shared" si="75"/>
        <v>2.6151547278551339</v>
      </c>
      <c r="P123" s="116">
        <f t="shared" si="42"/>
        <v>2.837585902173124</v>
      </c>
      <c r="Q123" s="67">
        <f t="shared" si="76"/>
        <v>2.9893366390521665</v>
      </c>
      <c r="R123" s="67">
        <f t="shared" si="77"/>
        <v>2.760992152125997</v>
      </c>
      <c r="S123" s="116">
        <f t="shared" si="43"/>
        <v>2.8751643955890818</v>
      </c>
      <c r="T123" s="65">
        <f t="shared" si="78"/>
        <v>92.501435038931021</v>
      </c>
      <c r="U123" s="65">
        <f t="shared" si="79"/>
        <v>87.806459923864125</v>
      </c>
      <c r="V123" s="113">
        <f t="shared" si="44"/>
        <v>90.15394748139758</v>
      </c>
      <c r="W123" s="112">
        <f t="shared" si="53"/>
        <v>3.1514518898689396</v>
      </c>
      <c r="X123" s="112">
        <f t="shared" si="54"/>
        <v>2.7356103825940661</v>
      </c>
      <c r="Y123" s="112">
        <f t="shared" si="45"/>
        <v>2.9435311362315026</v>
      </c>
      <c r="Z123" s="66">
        <f t="shared" si="80"/>
        <v>3.1392382188565859</v>
      </c>
      <c r="AA123" s="66">
        <f t="shared" si="81"/>
        <v>2.9140993912499473</v>
      </c>
      <c r="AB123" s="112">
        <f t="shared" si="51"/>
        <v>3.0266688050532666</v>
      </c>
      <c r="AC123" s="216"/>
      <c r="AD123" s="133">
        <f t="shared" si="46"/>
        <v>0.94421417672770025</v>
      </c>
      <c r="AE123" s="133">
        <f t="shared" si="47"/>
        <v>0.94668863066054532</v>
      </c>
      <c r="AF123" s="133">
        <f t="shared" si="48"/>
        <v>0.94924429969015156</v>
      </c>
    </row>
    <row r="124" spans="1:32" x14ac:dyDescent="0.25">
      <c r="A124" s="39">
        <v>136</v>
      </c>
      <c r="B124" s="62">
        <f t="shared" si="70"/>
        <v>96.581386635021914</v>
      </c>
      <c r="C124" s="62">
        <f t="shared" si="71"/>
        <v>91.163291190458892</v>
      </c>
      <c r="D124" s="110">
        <f t="shared" si="39"/>
        <v>93.872338912740403</v>
      </c>
      <c r="E124" s="111">
        <f t="shared" si="36"/>
        <v>2.9780413088809476</v>
      </c>
      <c r="F124" s="111">
        <f t="shared" si="37"/>
        <v>2.505317972908347</v>
      </c>
      <c r="G124" s="110">
        <f t="shared" si="40"/>
        <v>2.7416796408946471</v>
      </c>
      <c r="H124" s="63">
        <f t="shared" si="72"/>
        <v>2.8527405001790092</v>
      </c>
      <c r="I124" s="63">
        <f t="shared" si="73"/>
        <v>2.6220967748460802</v>
      </c>
      <c r="J124" s="110">
        <f t="shared" si="52"/>
        <v>2.7374186375125449</v>
      </c>
      <c r="K124" s="64">
        <f t="shared" si="68"/>
        <v>95.042534361258674</v>
      </c>
      <c r="L124" s="64">
        <f t="shared" si="69"/>
        <v>89.953790675191598</v>
      </c>
      <c r="M124" s="64">
        <f t="shared" si="41"/>
        <v>92.498162518225143</v>
      </c>
      <c r="N124" s="67">
        <f t="shared" si="74"/>
        <v>3.0714353725150412</v>
      </c>
      <c r="O124" s="67">
        <f t="shared" si="75"/>
        <v>2.6271918211562917</v>
      </c>
      <c r="P124" s="116">
        <f t="shared" si="42"/>
        <v>2.8493135968356667</v>
      </c>
      <c r="Q124" s="67">
        <f t="shared" si="76"/>
        <v>3.0052371775014537</v>
      </c>
      <c r="R124" s="67">
        <f t="shared" si="77"/>
        <v>2.7767004658594576</v>
      </c>
      <c r="S124" s="116">
        <f t="shared" si="43"/>
        <v>2.8909688216804557</v>
      </c>
      <c r="T124" s="65">
        <f t="shared" si="78"/>
        <v>93.50368208749542</v>
      </c>
      <c r="U124" s="65">
        <f t="shared" si="79"/>
        <v>88.744290159924304</v>
      </c>
      <c r="V124" s="113">
        <f t="shared" si="44"/>
        <v>91.123986123709869</v>
      </c>
      <c r="W124" s="112">
        <f t="shared" si="53"/>
        <v>3.1648294361491351</v>
      </c>
      <c r="X124" s="112">
        <f t="shared" si="54"/>
        <v>2.7490656694042364</v>
      </c>
      <c r="Y124" s="112">
        <f t="shared" si="45"/>
        <v>2.9569475527766858</v>
      </c>
      <c r="Z124" s="66">
        <f t="shared" si="80"/>
        <v>3.1577338548238982</v>
      </c>
      <c r="AA124" s="66">
        <f t="shared" si="81"/>
        <v>2.9313041568728355</v>
      </c>
      <c r="AB124" s="112">
        <f t="shared" si="51"/>
        <v>3.0445190058483669</v>
      </c>
      <c r="AC124" s="216"/>
      <c r="AD124" s="133">
        <f t="shared" si="46"/>
        <v>0.94390124605439929</v>
      </c>
      <c r="AE124" s="133">
        <f t="shared" si="47"/>
        <v>0.94645824924317934</v>
      </c>
      <c r="AF124" s="133">
        <f t="shared" si="48"/>
        <v>0.94909941703560352</v>
      </c>
    </row>
    <row r="125" spans="1:32" x14ac:dyDescent="0.25">
      <c r="A125" s="39">
        <v>137</v>
      </c>
      <c r="B125" s="62">
        <f t="shared" si="70"/>
        <v>97.623643077114224</v>
      </c>
      <c r="C125" s="62">
        <f t="shared" si="71"/>
        <v>92.117536134142739</v>
      </c>
      <c r="D125" s="110">
        <f t="shared" si="39"/>
        <v>94.870589605628481</v>
      </c>
      <c r="E125" s="111">
        <f t="shared" si="36"/>
        <v>2.9871775908874105</v>
      </c>
      <c r="F125" s="111">
        <f t="shared" si="37"/>
        <v>2.5157638729399801</v>
      </c>
      <c r="G125" s="110">
        <f t="shared" si="40"/>
        <v>2.7514707319136953</v>
      </c>
      <c r="H125" s="63">
        <f t="shared" si="72"/>
        <v>2.8660677643696877</v>
      </c>
      <c r="I125" s="63">
        <f t="shared" si="73"/>
        <v>2.6363921439582541</v>
      </c>
      <c r="J125" s="110">
        <f t="shared" si="52"/>
        <v>2.7512299541639709</v>
      </c>
      <c r="K125" s="64">
        <f t="shared" si="68"/>
        <v>96.063913972106874</v>
      </c>
      <c r="L125" s="64">
        <f t="shared" si="69"/>
        <v>90.899327219584592</v>
      </c>
      <c r="M125" s="64">
        <f t="shared" si="41"/>
        <v>93.481620595845726</v>
      </c>
      <c r="N125" s="67">
        <f t="shared" si="74"/>
        <v>3.0825134734461717</v>
      </c>
      <c r="O125" s="67">
        <f t="shared" si="75"/>
        <v>2.6390406570321074</v>
      </c>
      <c r="P125" s="116">
        <f t="shared" si="42"/>
        <v>2.8607770652391395</v>
      </c>
      <c r="Q125" s="67">
        <f t="shared" si="76"/>
        <v>3.0211600827249345</v>
      </c>
      <c r="R125" s="67">
        <f t="shared" si="77"/>
        <v>2.7924885852676895</v>
      </c>
      <c r="S125" s="116">
        <f t="shared" si="43"/>
        <v>2.9068243339963118</v>
      </c>
      <c r="T125" s="65">
        <f t="shared" si="78"/>
        <v>94.504184867099525</v>
      </c>
      <c r="U125" s="65">
        <f t="shared" si="79"/>
        <v>89.681118305026459</v>
      </c>
      <c r="V125" s="113">
        <f t="shared" si="44"/>
        <v>92.092651586062999</v>
      </c>
      <c r="W125" s="112">
        <f t="shared" si="53"/>
        <v>3.1778493560049332</v>
      </c>
      <c r="X125" s="112">
        <f t="shared" si="54"/>
        <v>2.7623174411242348</v>
      </c>
      <c r="Y125" s="112">
        <f t="shared" si="45"/>
        <v>2.9700833985645838</v>
      </c>
      <c r="Z125" s="66">
        <f t="shared" si="80"/>
        <v>3.1762524010801809</v>
      </c>
      <c r="AA125" s="66">
        <f t="shared" si="81"/>
        <v>2.948585026577125</v>
      </c>
      <c r="AB125" s="112">
        <f t="shared" si="51"/>
        <v>3.0624187138286532</v>
      </c>
      <c r="AC125" s="216"/>
      <c r="AD125" s="133">
        <f t="shared" si="46"/>
        <v>0.94359863277564704</v>
      </c>
      <c r="AE125" s="133">
        <f t="shared" si="47"/>
        <v>0.94623801447417732</v>
      </c>
      <c r="AF125" s="133">
        <f t="shared" si="48"/>
        <v>0.94896451867337195</v>
      </c>
    </row>
    <row r="126" spans="1:32" x14ac:dyDescent="0.25">
      <c r="A126" s="39">
        <v>138</v>
      </c>
      <c r="B126" s="62">
        <f t="shared" si="70"/>
        <v>98.66412922153205</v>
      </c>
      <c r="C126" s="62">
        <f t="shared" si="71"/>
        <v>93.070480509909345</v>
      </c>
      <c r="D126" s="110">
        <f t="shared" si="39"/>
        <v>95.867304865720698</v>
      </c>
      <c r="E126" s="111">
        <f t="shared" si="36"/>
        <v>2.9960002056295036</v>
      </c>
      <c r="F126" s="111">
        <f t="shared" si="37"/>
        <v>2.5260391111554967</v>
      </c>
      <c r="G126" s="110">
        <f t="shared" si="40"/>
        <v>2.7610196583925002</v>
      </c>
      <c r="H126" s="63">
        <f t="shared" si="72"/>
        <v>2.8794234519151884</v>
      </c>
      <c r="I126" s="63">
        <f t="shared" si="73"/>
        <v>2.650772883908779</v>
      </c>
      <c r="J126" s="110">
        <f t="shared" si="52"/>
        <v>2.7650981679119839</v>
      </c>
      <c r="K126" s="64">
        <f t="shared" si="68"/>
        <v>97.083487085043075</v>
      </c>
      <c r="L126" s="64">
        <f t="shared" si="69"/>
        <v>91.843671987555467</v>
      </c>
      <c r="M126" s="64">
        <f t="shared" si="41"/>
        <v>94.463579536299278</v>
      </c>
      <c r="N126" s="67">
        <f t="shared" si="74"/>
        <v>3.093259588758472</v>
      </c>
      <c r="O126" s="67">
        <f t="shared" si="75"/>
        <v>2.6507035242468238</v>
      </c>
      <c r="P126" s="116">
        <f t="shared" si="42"/>
        <v>2.8719815565026479</v>
      </c>
      <c r="Q126" s="67">
        <f t="shared" si="76"/>
        <v>3.0371115976138081</v>
      </c>
      <c r="R126" s="67">
        <f t="shared" si="77"/>
        <v>2.8083585456085096</v>
      </c>
      <c r="S126" s="116">
        <f t="shared" si="43"/>
        <v>2.9227350716111591</v>
      </c>
      <c r="T126" s="65">
        <f t="shared" si="78"/>
        <v>95.502844948554099</v>
      </c>
      <c r="U126" s="65">
        <f t="shared" si="79"/>
        <v>90.61686346520159</v>
      </c>
      <c r="V126" s="113">
        <f t="shared" si="44"/>
        <v>93.059854206877844</v>
      </c>
      <c r="W126" s="112">
        <f t="shared" si="53"/>
        <v>3.1905189718874407</v>
      </c>
      <c r="X126" s="112">
        <f t="shared" si="54"/>
        <v>2.7753679373381508</v>
      </c>
      <c r="Y126" s="112">
        <f t="shared" si="45"/>
        <v>2.982943454612796</v>
      </c>
      <c r="Z126" s="66">
        <f t="shared" si="80"/>
        <v>3.1947997433124278</v>
      </c>
      <c r="AA126" s="66">
        <f t="shared" si="81"/>
        <v>2.9659442073082407</v>
      </c>
      <c r="AB126" s="112">
        <f t="shared" si="51"/>
        <v>3.0803719753103342</v>
      </c>
      <c r="AC126" s="216"/>
      <c r="AD126" s="133">
        <f t="shared" si="46"/>
        <v>0.94330615639384807</v>
      </c>
      <c r="AE126" s="133">
        <f t="shared" si="47"/>
        <v>0.94602774112452681</v>
      </c>
      <c r="AF126" s="133">
        <f t="shared" si="48"/>
        <v>0.94883941430242724</v>
      </c>
    </row>
    <row r="127" spans="1:32" x14ac:dyDescent="0.25">
      <c r="A127" s="39">
        <v>139</v>
      </c>
      <c r="B127" s="62">
        <f t="shared" si="70"/>
        <v>99.702743566567435</v>
      </c>
      <c r="C127" s="62">
        <f t="shared" si="71"/>
        <v>94.022044058930959</v>
      </c>
      <c r="D127" s="110">
        <f t="shared" si="39"/>
        <v>96.86239381274919</v>
      </c>
      <c r="E127" s="111">
        <f t="shared" si="36"/>
        <v>3.0045181357194264</v>
      </c>
      <c r="F127" s="111">
        <f t="shared" si="37"/>
        <v>2.5361460262908726</v>
      </c>
      <c r="G127" s="110">
        <f t="shared" si="40"/>
        <v>2.7703320810051495</v>
      </c>
      <c r="H127" s="63">
        <f t="shared" si="72"/>
        <v>2.8928140171384467</v>
      </c>
      <c r="I127" s="63">
        <f t="shared" si="73"/>
        <v>2.665240833256493</v>
      </c>
      <c r="J127" s="110">
        <f t="shared" si="52"/>
        <v>2.7790274251974698</v>
      </c>
      <c r="K127" s="64">
        <f t="shared" si="68"/>
        <v>98.101154850227346</v>
      </c>
      <c r="L127" s="64">
        <f t="shared" si="69"/>
        <v>92.786745188598644</v>
      </c>
      <c r="M127" s="64">
        <f t="shared" si="41"/>
        <v>95.443950019412995</v>
      </c>
      <c r="N127" s="67">
        <f t="shared" si="74"/>
        <v>3.1036818715882601</v>
      </c>
      <c r="O127" s="67">
        <f t="shared" si="75"/>
        <v>2.6621827235637516</v>
      </c>
      <c r="P127" s="116">
        <f t="shared" si="42"/>
        <v>2.8829322975760059</v>
      </c>
      <c r="Q127" s="67">
        <f t="shared" si="76"/>
        <v>3.0530978538061921</v>
      </c>
      <c r="R127" s="67">
        <f t="shared" si="77"/>
        <v>2.8243123579544638</v>
      </c>
      <c r="S127" s="116">
        <f t="shared" si="43"/>
        <v>2.9387051058803282</v>
      </c>
      <c r="T127" s="65">
        <f t="shared" si="78"/>
        <v>96.499566133887271</v>
      </c>
      <c r="U127" s="65">
        <f t="shared" si="79"/>
        <v>91.551446318266315</v>
      </c>
      <c r="V127" s="113">
        <f t="shared" si="44"/>
        <v>94.0255062260768</v>
      </c>
      <c r="W127" s="112">
        <f t="shared" si="53"/>
        <v>3.2028456074570943</v>
      </c>
      <c r="X127" s="112">
        <f t="shared" si="54"/>
        <v>2.7882194208366302</v>
      </c>
      <c r="Y127" s="112">
        <f t="shared" si="45"/>
        <v>2.9955325141468623</v>
      </c>
      <c r="Z127" s="66">
        <f t="shared" si="80"/>
        <v>3.2133816904739372</v>
      </c>
      <c r="AA127" s="66">
        <f t="shared" si="81"/>
        <v>2.9833838826524346</v>
      </c>
      <c r="AB127" s="112">
        <f t="shared" si="51"/>
        <v>3.0983827865631861</v>
      </c>
      <c r="AC127" s="216"/>
      <c r="AD127" s="133">
        <f t="shared" si="46"/>
        <v>0.94302363902510156</v>
      </c>
      <c r="AE127" s="133">
        <f t="shared" si="47"/>
        <v>0.94582724668489071</v>
      </c>
      <c r="AF127" s="133">
        <f t="shared" si="48"/>
        <v>0.94872391644998966</v>
      </c>
    </row>
    <row r="128" spans="1:32" x14ac:dyDescent="0.25">
      <c r="A128" s="39">
        <v>140</v>
      </c>
      <c r="B128" s="62">
        <f t="shared" si="70"/>
        <v>100.73938687929501</v>
      </c>
      <c r="C128" s="62">
        <f t="shared" si="71"/>
        <v>94.972148186326024</v>
      </c>
      <c r="D128" s="110">
        <f t="shared" si="39"/>
        <v>97.855767532810518</v>
      </c>
      <c r="E128" s="111">
        <f t="shared" si="36"/>
        <v>3.0127402405803245</v>
      </c>
      <c r="F128" s="111">
        <f t="shared" si="37"/>
        <v>2.546086955951496</v>
      </c>
      <c r="G128" s="110">
        <f t="shared" si="40"/>
        <v>2.7794135982659105</v>
      </c>
      <c r="H128" s="63">
        <f t="shared" si="72"/>
        <v>2.9062457680388789</v>
      </c>
      <c r="I128" s="63">
        <f t="shared" si="73"/>
        <v>2.6797978058807046</v>
      </c>
      <c r="J128" s="110">
        <f t="shared" si="52"/>
        <v>2.793021786959792</v>
      </c>
      <c r="K128" s="64">
        <f t="shared" si="68"/>
        <v>99.11682066268969</v>
      </c>
      <c r="L128" s="64">
        <f t="shared" si="69"/>
        <v>93.728468646890505</v>
      </c>
      <c r="M128" s="64">
        <f t="shared" si="41"/>
        <v>96.422644654790105</v>
      </c>
      <c r="N128" s="67">
        <f t="shared" si="74"/>
        <v>3.1137884085344316</v>
      </c>
      <c r="O128" s="67">
        <f t="shared" si="75"/>
        <v>2.6734805653870568</v>
      </c>
      <c r="P128" s="116">
        <f t="shared" si="42"/>
        <v>2.8936344869607442</v>
      </c>
      <c r="Q128" s="67">
        <f t="shared" si="76"/>
        <v>3.0691248703037433</v>
      </c>
      <c r="R128" s="67">
        <f t="shared" si="77"/>
        <v>2.8403520093801307</v>
      </c>
      <c r="S128" s="116">
        <f t="shared" si="43"/>
        <v>2.954738439841937</v>
      </c>
      <c r="T128" s="65">
        <f t="shared" si="78"/>
        <v>97.494254446084355</v>
      </c>
      <c r="U128" s="65">
        <f t="shared" si="79"/>
        <v>92.484789107454986</v>
      </c>
      <c r="V128" s="113">
        <f t="shared" si="44"/>
        <v>94.989521776769664</v>
      </c>
      <c r="W128" s="112">
        <f t="shared" si="53"/>
        <v>3.2148365764885392</v>
      </c>
      <c r="X128" s="112">
        <f t="shared" si="54"/>
        <v>2.800874174822618</v>
      </c>
      <c r="Y128" s="112">
        <f t="shared" si="45"/>
        <v>3.0078553756555788</v>
      </c>
      <c r="Z128" s="66">
        <f t="shared" si="80"/>
        <v>3.2320039725686072</v>
      </c>
      <c r="AA128" s="66">
        <f t="shared" si="81"/>
        <v>3.0009062128795563</v>
      </c>
      <c r="AB128" s="112">
        <f t="shared" si="51"/>
        <v>3.1164550927240819</v>
      </c>
      <c r="AC128" s="216"/>
      <c r="AD128" s="133">
        <f t="shared" si="46"/>
        <v>0.94275090536455974</v>
      </c>
      <c r="AE128" s="133">
        <f t="shared" si="47"/>
        <v>0.94563635132994628</v>
      </c>
      <c r="AF128" s="133">
        <f t="shared" si="48"/>
        <v>0.94861784043489794</v>
      </c>
    </row>
    <row r="129" spans="1:32" x14ac:dyDescent="0.25">
      <c r="A129" s="39">
        <v>141</v>
      </c>
      <c r="B129" s="62">
        <f t="shared" si="70"/>
        <v>101.77396218573479</v>
      </c>
      <c r="C129" s="62">
        <f t="shared" si="71"/>
        <v>95.920715952184324</v>
      </c>
      <c r="D129" s="110">
        <f t="shared" si="39"/>
        <v>98.847339068959556</v>
      </c>
      <c r="E129" s="111">
        <f t="shared" si="36"/>
        <v>3.020675248063573</v>
      </c>
      <c r="F129" s="111">
        <f t="shared" si="37"/>
        <v>2.5558642347890146</v>
      </c>
      <c r="G129" s="110">
        <f t="shared" si="40"/>
        <v>2.7882697414262938</v>
      </c>
      <c r="H129" s="63">
        <f>E129/(B129-B128)</f>
        <v>2.9197248660983846</v>
      </c>
      <c r="I129" s="63">
        <f t="shared" si="73"/>
        <v>2.6944455913240652</v>
      </c>
      <c r="J129" s="110">
        <f t="shared" si="52"/>
        <v>2.8070852287112249</v>
      </c>
      <c r="K129" s="64">
        <f t="shared" si="68"/>
        <v>100.13039015171611</v>
      </c>
      <c r="L129" s="64">
        <f t="shared" si="69"/>
        <v>94.668765793303038</v>
      </c>
      <c r="M129" s="64">
        <f t="shared" si="41"/>
        <v>97.399577972509576</v>
      </c>
      <c r="N129" s="67">
        <f t="shared" si="74"/>
        <v>3.1235872102624151</v>
      </c>
      <c r="O129" s="67">
        <f t="shared" si="75"/>
        <v>2.6845993675094126</v>
      </c>
      <c r="P129" s="116">
        <f t="shared" si="42"/>
        <v>2.9040932888859139</v>
      </c>
      <c r="Q129" s="67">
        <f t="shared" si="76"/>
        <v>3.0851985524024479</v>
      </c>
      <c r="R129" s="67">
        <f t="shared" si="77"/>
        <v>2.8564794631657064</v>
      </c>
      <c r="S129" s="116">
        <f t="shared" si="43"/>
        <v>2.9708390077840772</v>
      </c>
      <c r="T129" s="65">
        <f t="shared" si="78"/>
        <v>98.486818117697439</v>
      </c>
      <c r="U129" s="65">
        <f t="shared" si="79"/>
        <v>93.416815634421766</v>
      </c>
      <c r="V129" s="113">
        <f t="shared" si="44"/>
        <v>95.95181687605961</v>
      </c>
      <c r="W129" s="112">
        <f t="shared" si="53"/>
        <v>3.2264991724612577</v>
      </c>
      <c r="X129" s="112">
        <f t="shared" si="54"/>
        <v>2.8133345002298107</v>
      </c>
      <c r="Y129" s="112">
        <f t="shared" si="45"/>
        <v>3.0199168363455344</v>
      </c>
      <c r="Z129" s="66">
        <f t="shared" si="80"/>
        <v>3.2506722387065112</v>
      </c>
      <c r="AA129" s="66">
        <f t="shared" si="81"/>
        <v>3.0185133350073476</v>
      </c>
      <c r="AB129" s="112">
        <f t="shared" si="51"/>
        <v>3.1345927868569294</v>
      </c>
      <c r="AC129" s="216"/>
      <c r="AD129" s="133">
        <f t="shared" si="46"/>
        <v>0.94248778265241906</v>
      </c>
      <c r="AE129" s="133">
        <f t="shared" si="47"/>
        <v>0.94545487788335092</v>
      </c>
      <c r="AF129" s="133">
        <f t="shared" si="48"/>
        <v>0.94852100433159769</v>
      </c>
    </row>
    <row r="130" spans="1:32" x14ac:dyDescent="0.25">
      <c r="A130" s="39">
        <v>142</v>
      </c>
      <c r="B130" s="62">
        <f t="shared" si="70"/>
        <v>102.80637475986359</v>
      </c>
      <c r="C130" s="62">
        <f t="shared" si="71"/>
        <v>96.867672061972954</v>
      </c>
      <c r="D130" s="110">
        <f t="shared" si="39"/>
        <v>99.837023410918277</v>
      </c>
      <c r="E130" s="111">
        <f t="shared" si="36"/>
        <v>3.0283317469480577</v>
      </c>
      <c r="F130" s="111">
        <f t="shared" si="37"/>
        <v>2.5654801927742774</v>
      </c>
      <c r="G130" s="110">
        <f t="shared" si="40"/>
        <v>2.7969059698611676</v>
      </c>
      <c r="H130" s="63">
        <f t="shared" si="72"/>
        <v>2.9332573264167339</v>
      </c>
      <c r="I130" s="63">
        <f t="shared" si="73"/>
        <v>2.7091859551409603</v>
      </c>
      <c r="J130" s="110">
        <f t="shared" si="52"/>
        <v>2.8212216407788473</v>
      </c>
      <c r="K130" s="64">
        <f t="shared" si="68"/>
        <v>101.14177116911715</v>
      </c>
      <c r="L130" s="64">
        <f t="shared" si="69"/>
        <v>95.607561656804791</v>
      </c>
      <c r="M130" s="64">
        <f t="shared" si="41"/>
        <v>98.374666412960977</v>
      </c>
      <c r="N130" s="67">
        <f t="shared" si="74"/>
        <v>3.133086202883669</v>
      </c>
      <c r="O130" s="67">
        <f t="shared" si="75"/>
        <v>2.6955414529629853</v>
      </c>
      <c r="P130" s="116">
        <f t="shared" si="42"/>
        <v>2.9143138279233272</v>
      </c>
      <c r="Q130" s="67">
        <f t="shared" si="76"/>
        <v>3.1013246909206904</v>
      </c>
      <c r="R130" s="67">
        <f t="shared" si="77"/>
        <v>2.8726966590134433</v>
      </c>
      <c r="S130" s="116">
        <f t="shared" si="43"/>
        <v>2.9870106749670668</v>
      </c>
      <c r="T130" s="65">
        <f t="shared" si="78"/>
        <v>99.477167578370711</v>
      </c>
      <c r="U130" s="65">
        <f t="shared" si="79"/>
        <v>94.347451251636642</v>
      </c>
      <c r="V130" s="113">
        <f t="shared" si="44"/>
        <v>96.912309415003676</v>
      </c>
      <c r="W130" s="112">
        <f t="shared" si="53"/>
        <v>3.2378406588192803</v>
      </c>
      <c r="X130" s="112">
        <f t="shared" si="54"/>
        <v>2.8256027131516932</v>
      </c>
      <c r="Y130" s="112">
        <f t="shared" si="45"/>
        <v>3.0317216859854867</v>
      </c>
      <c r="Z130" s="66">
        <f t="shared" si="80"/>
        <v>3.2693920554246474</v>
      </c>
      <c r="AA130" s="66">
        <f t="shared" si="81"/>
        <v>3.0362073628859267</v>
      </c>
      <c r="AB130" s="112">
        <f t="shared" si="51"/>
        <v>3.1527997091552873</v>
      </c>
      <c r="AC130" s="216"/>
      <c r="AD130" s="133">
        <f t="shared" si="46"/>
        <v>0.94223410064052615</v>
      </c>
      <c r="AE130" s="133">
        <f t="shared" si="47"/>
        <v>0.94528265178331994</v>
      </c>
      <c r="AF130" s="133">
        <f t="shared" si="48"/>
        <v>0.9484332289347428</v>
      </c>
    </row>
    <row r="131" spans="1:32" x14ac:dyDescent="0.25">
      <c r="A131" s="39">
        <v>143</v>
      </c>
      <c r="B131" s="62">
        <f t="shared" si="70"/>
        <v>103.83653211152199</v>
      </c>
      <c r="C131" s="62">
        <f t="shared" si="71"/>
        <v>97.812942856347732</v>
      </c>
      <c r="D131" s="110">
        <f t="shared" si="39"/>
        <v>100.82473748393485</v>
      </c>
      <c r="E131" s="111">
        <f t="shared" si="36"/>
        <v>3.0357181802812692</v>
      </c>
      <c r="F131" s="111">
        <f t="shared" si="37"/>
        <v>2.5749371535634702</v>
      </c>
      <c r="G131" s="110">
        <f t="shared" si="40"/>
        <v>2.8053276669223699</v>
      </c>
      <c r="H131" s="63">
        <f t="shared" si="72"/>
        <v>2.9468490181565041</v>
      </c>
      <c r="I131" s="63">
        <f t="shared" si="73"/>
        <v>2.7240206392566981</v>
      </c>
      <c r="J131" s="110">
        <f t="shared" si="52"/>
        <v>2.8354348287066014</v>
      </c>
      <c r="K131" s="64">
        <f t="shared" si="68"/>
        <v>102.15087377642612</v>
      </c>
      <c r="L131" s="64">
        <f t="shared" si="69"/>
        <v>96.544782855273041</v>
      </c>
      <c r="M131" s="64">
        <f t="shared" si="41"/>
        <v>99.347828315849583</v>
      </c>
      <c r="N131" s="67">
        <f t="shared" si="74"/>
        <v>3.1422932200817257</v>
      </c>
      <c r="O131" s="67">
        <f t="shared" si="75"/>
        <v>2.7063091479712051</v>
      </c>
      <c r="P131" s="116">
        <f t="shared" si="42"/>
        <v>2.9243011840264654</v>
      </c>
      <c r="Q131" s="67">
        <f t="shared" si="76"/>
        <v>3.1175089617032179</v>
      </c>
      <c r="R131" s="67">
        <f t="shared" si="77"/>
        <v>2.8890055132801256</v>
      </c>
      <c r="S131" s="116">
        <f t="shared" si="43"/>
        <v>3.0032572374916717</v>
      </c>
      <c r="T131" s="65">
        <f t="shared" si="78"/>
        <v>100.46521544133024</v>
      </c>
      <c r="U131" s="65">
        <f t="shared" si="79"/>
        <v>95.276622854198365</v>
      </c>
      <c r="V131" s="113">
        <f t="shared" si="44"/>
        <v>97.870919147764312</v>
      </c>
      <c r="W131" s="112">
        <f t="shared" si="53"/>
        <v>3.2488682598821823</v>
      </c>
      <c r="X131" s="112">
        <f t="shared" si="54"/>
        <v>2.8376811423789405</v>
      </c>
      <c r="Y131" s="112">
        <f t="shared" si="45"/>
        <v>3.0432747011305614</v>
      </c>
      <c r="Z131" s="66">
        <f t="shared" si="80"/>
        <v>3.2881689052499317</v>
      </c>
      <c r="AA131" s="66">
        <f t="shared" si="81"/>
        <v>3.053990387303553</v>
      </c>
      <c r="AB131" s="112">
        <f t="shared" si="51"/>
        <v>3.1710796462767421</v>
      </c>
      <c r="AC131" s="216"/>
      <c r="AD131" s="133">
        <f t="shared" si="46"/>
        <v>0.94198969155956758</v>
      </c>
      <c r="AE131" s="133">
        <f t="shared" si="47"/>
        <v>0.94511950104878273</v>
      </c>
      <c r="AF131" s="133">
        <f t="shared" si="48"/>
        <v>0.94835433772436473</v>
      </c>
    </row>
    <row r="132" spans="1:32" x14ac:dyDescent="0.25">
      <c r="A132" s="39">
        <v>144</v>
      </c>
      <c r="B132" s="62">
        <f t="shared" si="70"/>
        <v>104.86434397326343</v>
      </c>
      <c r="C132" s="62">
        <f t="shared" si="71"/>
        <v>98.75645630039736</v>
      </c>
      <c r="D132" s="110">
        <f t="shared" si="39"/>
        <v>101.8104001368304</v>
      </c>
      <c r="E132" s="111">
        <f t="shared" si="36"/>
        <v>3.0428428395218203</v>
      </c>
      <c r="F132" s="111">
        <f t="shared" si="37"/>
        <v>2.5842374329545246</v>
      </c>
      <c r="G132" s="110">
        <f t="shared" si="40"/>
        <v>2.8135401362381725</v>
      </c>
      <c r="H132" s="63">
        <f t="shared" si="72"/>
        <v>2.9605056652744555</v>
      </c>
      <c r="I132" s="63">
        <f t="shared" si="73"/>
        <v>2.7389513623280122</v>
      </c>
      <c r="J132" s="110">
        <f t="shared" si="52"/>
        <v>2.8497285138012338</v>
      </c>
      <c r="K132" s="64">
        <f t="shared" si="68"/>
        <v>103.15761023107302</v>
      </c>
      <c r="L132" s="64">
        <f t="shared" si="69"/>
        <v>97.48035758574278</v>
      </c>
      <c r="M132" s="64">
        <f t="shared" si="41"/>
        <v>100.3189839084079</v>
      </c>
      <c r="N132" s="67">
        <f t="shared" si="74"/>
        <v>3.1512159959552166</v>
      </c>
      <c r="O132" s="67">
        <f t="shared" si="75"/>
        <v>2.7169047799986936</v>
      </c>
      <c r="P132" s="116">
        <f t="shared" si="42"/>
        <v>2.9340603879769551</v>
      </c>
      <c r="Q132" s="67">
        <f t="shared" si="76"/>
        <v>3.1337569253894708</v>
      </c>
      <c r="R132" s="67">
        <f t="shared" si="77"/>
        <v>2.9054079192183844</v>
      </c>
      <c r="S132" s="116">
        <f t="shared" si="43"/>
        <v>3.0195824223039276</v>
      </c>
      <c r="T132" s="65">
        <f t="shared" si="78"/>
        <v>101.45087648888261</v>
      </c>
      <c r="U132" s="65">
        <f t="shared" si="79"/>
        <v>96.204258871088186</v>
      </c>
      <c r="V132" s="113">
        <f t="shared" si="44"/>
        <v>98.827567679985407</v>
      </c>
      <c r="W132" s="112">
        <f t="shared" si="53"/>
        <v>3.2595891523886129</v>
      </c>
      <c r="X132" s="112">
        <f t="shared" si="54"/>
        <v>2.8495721270428631</v>
      </c>
      <c r="Y132" s="112">
        <f t="shared" si="45"/>
        <v>3.0545806397157378</v>
      </c>
      <c r="Z132" s="66">
        <f t="shared" si="80"/>
        <v>3.3070081855044866</v>
      </c>
      <c r="AA132" s="66">
        <f t="shared" si="81"/>
        <v>3.0718644761087566</v>
      </c>
      <c r="AB132" s="112">
        <f t="shared" si="51"/>
        <v>3.1894363308066218</v>
      </c>
      <c r="AC132" s="216"/>
      <c r="AD132" s="133">
        <f t="shared" si="46"/>
        <v>0.94175439008684059</v>
      </c>
      <c r="AE132" s="133">
        <f t="shared" si="47"/>
        <v>0.94496525624611505</v>
      </c>
      <c r="AF132" s="133">
        <f t="shared" si="48"/>
        <v>0.94828415683161327</v>
      </c>
    </row>
    <row r="133" spans="1:32" x14ac:dyDescent="0.25">
      <c r="A133" s="39">
        <v>145</v>
      </c>
      <c r="B133" s="62">
        <f t="shared" si="70"/>
        <v>105.8897222861919</v>
      </c>
      <c r="C133" s="62">
        <f t="shared" si="71"/>
        <v>99.698141972344004</v>
      </c>
      <c r="D133" s="110">
        <f t="shared" si="39"/>
        <v>102.79393212926794</v>
      </c>
      <c r="E133" s="111">
        <f t="shared" si="36"/>
        <v>3.0497138594429964</v>
      </c>
      <c r="F133" s="111">
        <f t="shared" si="37"/>
        <v>2.5933833374309163</v>
      </c>
      <c r="G133" s="110">
        <f t="shared" si="40"/>
        <v>2.8215485984369564</v>
      </c>
      <c r="H133" s="63">
        <f t="shared" si="72"/>
        <v>2.9742328475165949</v>
      </c>
      <c r="I133" s="63">
        <f t="shared" si="73"/>
        <v>2.7539798201133281</v>
      </c>
      <c r="J133" s="110">
        <f t="shared" si="52"/>
        <v>2.8641063338149615</v>
      </c>
      <c r="K133" s="64">
        <f t="shared" si="68"/>
        <v>104.16189497158064</v>
      </c>
      <c r="L133" s="64">
        <f t="shared" si="69"/>
        <v>98.414215614115619</v>
      </c>
      <c r="M133" s="64">
        <f t="shared" si="41"/>
        <v>101.28805529284813</v>
      </c>
      <c r="N133" s="67">
        <f t="shared" si="74"/>
        <v>3.1598621585478823</v>
      </c>
      <c r="O133" s="67">
        <f t="shared" si="75"/>
        <v>2.7273306758967522</v>
      </c>
      <c r="P133" s="116">
        <f t="shared" si="42"/>
        <v>2.9435964172223175</v>
      </c>
      <c r="Q133" s="67">
        <f t="shared" si="76"/>
        <v>3.1500740274235559</v>
      </c>
      <c r="R133" s="67">
        <f t="shared" si="77"/>
        <v>2.921905747231671</v>
      </c>
      <c r="S133" s="116">
        <f t="shared" si="43"/>
        <v>3.0359898873276134</v>
      </c>
      <c r="T133" s="65">
        <f t="shared" si="78"/>
        <v>102.43406765696936</v>
      </c>
      <c r="U133" s="65">
        <f t="shared" si="79"/>
        <v>97.13028925588722</v>
      </c>
      <c r="V133" s="113">
        <f t="shared" si="44"/>
        <v>99.782178456428284</v>
      </c>
      <c r="W133" s="112">
        <f t="shared" si="53"/>
        <v>3.2700104576527682</v>
      </c>
      <c r="X133" s="112">
        <f t="shared" si="54"/>
        <v>2.8612780143625876</v>
      </c>
      <c r="Y133" s="112">
        <f t="shared" si="45"/>
        <v>3.0656442360076781</v>
      </c>
      <c r="Z133" s="66">
        <f t="shared" si="80"/>
        <v>3.3259152073305165</v>
      </c>
      <c r="AA133" s="66">
        <f t="shared" si="81"/>
        <v>3.0898316743500134</v>
      </c>
      <c r="AB133" s="112">
        <f t="shared" si="51"/>
        <v>3.2078734408402649</v>
      </c>
      <c r="AC133" s="216"/>
      <c r="AD133" s="133">
        <f t="shared" si="46"/>
        <v>0.94152803331456769</v>
      </c>
      <c r="AE133" s="133">
        <f t="shared" si="47"/>
        <v>0.94481975045641009</v>
      </c>
      <c r="AF133" s="133">
        <f t="shared" si="48"/>
        <v>0.94822251500503318</v>
      </c>
    </row>
    <row r="134" spans="1:32" x14ac:dyDescent="0.25">
      <c r="A134" s="39">
        <v>146</v>
      </c>
      <c r="B134" s="62">
        <f t="shared" si="70"/>
        <v>106.91258118483329</v>
      </c>
      <c r="C134" s="62">
        <f t="shared" si="71"/>
        <v>100.63793105172607</v>
      </c>
      <c r="D134" s="110">
        <f t="shared" si="39"/>
        <v>103.77525611827969</v>
      </c>
      <c r="E134" s="111">
        <f t="shared" ref="E134:E188" si="82">3.2313 * (1-EXP(-(EXP(-5.0762)*($B133^1.3183))))</f>
        <v>3.056339213757147</v>
      </c>
      <c r="F134" s="111">
        <f t="shared" ref="F134:F188" si="83">3.2426 * (1-EXP(-(EXP(-3.7041)*($C133^0.91))))</f>
        <v>2.6023771627899954</v>
      </c>
      <c r="G134" s="110">
        <f t="shared" si="40"/>
        <v>2.829358188273571</v>
      </c>
      <c r="H134" s="63">
        <f t="shared" si="72"/>
        <v>2.9880360016584184</v>
      </c>
      <c r="I134" s="63">
        <f t="shared" si="73"/>
        <v>2.7691076858449133</v>
      </c>
      <c r="J134" s="110">
        <f t="shared" si="52"/>
        <v>2.8785718437516659</v>
      </c>
      <c r="K134" s="64">
        <f t="shared" si="68"/>
        <v>105.16364460182729</v>
      </c>
      <c r="L134" s="64">
        <f t="shared" si="69"/>
        <v>99.346288264352893</v>
      </c>
      <c r="M134" s="64">
        <f t="shared" si="41"/>
        <v>102.25496643309009</v>
      </c>
      <c r="N134" s="67">
        <f t="shared" si="74"/>
        <v>3.1682392240353709</v>
      </c>
      <c r="O134" s="67">
        <f t="shared" si="75"/>
        <v>2.7375891601417583</v>
      </c>
      <c r="P134" s="116">
        <f t="shared" si="42"/>
        <v>2.9529141920885644</v>
      </c>
      <c r="Q134" s="67">
        <f t="shared" si="76"/>
        <v>3.1664655982945522</v>
      </c>
      <c r="R134" s="67">
        <f t="shared" si="77"/>
        <v>2.9385008451388792</v>
      </c>
      <c r="S134" s="116">
        <f t="shared" si="43"/>
        <v>3.0524832217167157</v>
      </c>
      <c r="T134" s="65">
        <f t="shared" si="78"/>
        <v>103.41470801882129</v>
      </c>
      <c r="U134" s="65">
        <f t="shared" si="79"/>
        <v>98.054645476979701</v>
      </c>
      <c r="V134" s="113">
        <f t="shared" si="44"/>
        <v>100.73467674790049</v>
      </c>
      <c r="W134" s="112">
        <f t="shared" si="53"/>
        <v>3.2801392343135949</v>
      </c>
      <c r="X134" s="112">
        <f t="shared" si="54"/>
        <v>2.8728011574935217</v>
      </c>
      <c r="Y134" s="112">
        <f t="shared" si="45"/>
        <v>3.0764701959035583</v>
      </c>
      <c r="Z134" s="66">
        <f t="shared" si="80"/>
        <v>3.344895194930686</v>
      </c>
      <c r="AA134" s="66">
        <f t="shared" si="81"/>
        <v>3.1078940044328447</v>
      </c>
      <c r="AB134" s="112">
        <f t="shared" si="51"/>
        <v>3.2263945996817656</v>
      </c>
      <c r="AC134" s="216"/>
      <c r="AD134" s="133">
        <f t="shared" si="46"/>
        <v>0.94131046071874891</v>
      </c>
      <c r="AE134" s="133">
        <f t="shared" si="47"/>
        <v>0.94468281924328334</v>
      </c>
      <c r="AF134" s="133">
        <f t="shared" si="48"/>
        <v>0.94816924357736365</v>
      </c>
    </row>
    <row r="135" spans="1:32" x14ac:dyDescent="0.25">
      <c r="A135" s="39">
        <v>147</v>
      </c>
      <c r="B135" s="62">
        <f t="shared" si="70"/>
        <v>107.9328369810858</v>
      </c>
      <c r="C135" s="62">
        <f t="shared" si="71"/>
        <v>101.57575630708736</v>
      </c>
      <c r="D135" s="110">
        <f t="shared" ref="D135:D188" si="84">AVERAGE(B135:C135)</f>
        <v>104.75429664408658</v>
      </c>
      <c r="E135" s="111">
        <f t="shared" si="82"/>
        <v>3.0627267114211074</v>
      </c>
      <c r="F135" s="111">
        <f t="shared" si="83"/>
        <v>2.6112211928529807</v>
      </c>
      <c r="G135" s="110">
        <f t="shared" ref="G135:G188" si="85">AVERAGE(E135:F135)</f>
        <v>2.8369739521370443</v>
      </c>
      <c r="H135" s="63">
        <f t="shared" si="72"/>
        <v>3.0019204229672245</v>
      </c>
      <c r="I135" s="63">
        <f t="shared" si="73"/>
        <v>2.784336610605596</v>
      </c>
      <c r="J135" s="110">
        <f t="shared" ref="J135:J188" si="86">AVERAGE(H135:I135)</f>
        <v>2.89312851678641</v>
      </c>
      <c r="K135" s="64">
        <f t="shared" si="68"/>
        <v>106.16277787442178</v>
      </c>
      <c r="L135" s="64">
        <f t="shared" si="69"/>
        <v>100.27650840717638</v>
      </c>
      <c r="M135" s="64">
        <f t="shared" ref="M135:M188" si="87">AVERAGE(K135:L135)</f>
        <v>103.21964314079908</v>
      </c>
      <c r="N135" s="67">
        <f t="shared" si="74"/>
        <v>3.1763545915385323</v>
      </c>
      <c r="O135" s="67">
        <f t="shared" si="75"/>
        <v>2.7476825531638411</v>
      </c>
      <c r="P135" s="116">
        <f t="shared" ref="P135:P188" si="88">AVERAGE(N135:O135)</f>
        <v>2.9620185723511865</v>
      </c>
      <c r="Q135" s="67">
        <f t="shared" si="76"/>
        <v>3.1829368539865581</v>
      </c>
      <c r="R135" s="67">
        <f t="shared" si="77"/>
        <v>2.9551950384471706</v>
      </c>
      <c r="S135" s="116">
        <f t="shared" ref="S135:S188" si="89">AVERAGE(Q135:R135)</f>
        <v>3.0690659462168641</v>
      </c>
      <c r="T135" s="65">
        <f t="shared" si="78"/>
        <v>104.39271876775777</v>
      </c>
      <c r="U135" s="65">
        <f t="shared" si="79"/>
        <v>98.977260507265399</v>
      </c>
      <c r="V135" s="113">
        <f t="shared" ref="V135:V188" si="90">AVERAGE(T135:U135)</f>
        <v>101.68498963751159</v>
      </c>
      <c r="W135" s="112">
        <f t="shared" si="53"/>
        <v>3.2899824716559571</v>
      </c>
      <c r="X135" s="112">
        <f t="shared" si="54"/>
        <v>2.884143913474702</v>
      </c>
      <c r="Y135" s="112">
        <f t="shared" ref="Y135:Y188" si="91">AVERAGE(W135:X135)</f>
        <v>3.0870631925653296</v>
      </c>
      <c r="Z135" s="66">
        <f t="shared" si="80"/>
        <v>3.3639532850058917</v>
      </c>
      <c r="AA135" s="66">
        <f t="shared" si="81"/>
        <v>3.1260534662887456</v>
      </c>
      <c r="AB135" s="112">
        <f t="shared" ref="AB135:AB188" si="92">AVERAGE(Z135:AA135)</f>
        <v>3.2450033756473187</v>
      </c>
      <c r="AC135" s="216"/>
      <c r="AD135" s="133">
        <f t="shared" ref="AD135:AD188" si="93">C135/B135</f>
        <v>0.94110151412852738</v>
      </c>
      <c r="AE135" s="133">
        <f t="shared" ref="AE135:AE188" si="94">L135/K135</f>
        <v>0.94455430062118217</v>
      </c>
      <c r="AF135" s="133">
        <f t="shared" ref="AF135:AF188" si="95">U135/T135</f>
        <v>0.94812417643283986</v>
      </c>
    </row>
    <row r="136" spans="1:32" x14ac:dyDescent="0.25">
      <c r="A136" s="39">
        <v>148</v>
      </c>
      <c r="B136" s="62">
        <f t="shared" si="70"/>
        <v>108.95040814729377</v>
      </c>
      <c r="C136" s="62">
        <f t="shared" si="71"/>
        <v>102.51155208319645</v>
      </c>
      <c r="D136" s="110">
        <f t="shared" si="84"/>
        <v>105.7309801152451</v>
      </c>
      <c r="E136" s="111">
        <f t="shared" si="82"/>
        <v>3.0688839935833867</v>
      </c>
      <c r="F136" s="111">
        <f t="shared" si="83"/>
        <v>2.6199176982538175</v>
      </c>
      <c r="G136" s="110">
        <f t="shared" si="85"/>
        <v>2.8444008459186021</v>
      </c>
      <c r="H136" s="63">
        <f t="shared" si="72"/>
        <v>3.0158912668680764</v>
      </c>
      <c r="I136" s="63">
        <f t="shared" si="73"/>
        <v>2.7996682237091068</v>
      </c>
      <c r="J136" s="110">
        <f t="shared" si="86"/>
        <v>2.9077797452885914</v>
      </c>
      <c r="K136" s="64">
        <f t="shared" si="68"/>
        <v>107.1592156732337</v>
      </c>
      <c r="L136" s="64">
        <f t="shared" si="69"/>
        <v>101.20481044829927</v>
      </c>
      <c r="M136" s="64">
        <f t="shared" si="87"/>
        <v>104.18201306076648</v>
      </c>
      <c r="N136" s="67">
        <f t="shared" si="74"/>
        <v>3.1842155385330027</v>
      </c>
      <c r="O136" s="67">
        <f t="shared" si="75"/>
        <v>2.7576131697631676</v>
      </c>
      <c r="P136" s="116">
        <f t="shared" si="88"/>
        <v>2.9709143541480851</v>
      </c>
      <c r="Q136" s="67">
        <f t="shared" si="76"/>
        <v>3.1994928966268321</v>
      </c>
      <c r="R136" s="67">
        <f t="shared" si="77"/>
        <v>2.9719901306354677</v>
      </c>
      <c r="S136" s="116">
        <f t="shared" si="89"/>
        <v>3.0857415136311497</v>
      </c>
      <c r="T136" s="65">
        <f t="shared" si="78"/>
        <v>105.36802319917363</v>
      </c>
      <c r="U136" s="65">
        <f t="shared" si="79"/>
        <v>99.898068813402091</v>
      </c>
      <c r="V136" s="113">
        <f t="shared" si="90"/>
        <v>102.63304600628786</v>
      </c>
      <c r="W136" s="112">
        <f t="shared" si="53"/>
        <v>3.2995470834826186</v>
      </c>
      <c r="X136" s="112">
        <f t="shared" si="54"/>
        <v>2.8953086412725177</v>
      </c>
      <c r="Y136" s="112">
        <f t="shared" si="91"/>
        <v>3.0974278623775682</v>
      </c>
      <c r="Z136" s="66">
        <f t="shared" si="80"/>
        <v>3.3830945263855878</v>
      </c>
      <c r="AA136" s="66">
        <f t="shared" si="81"/>
        <v>3.1443120375618281</v>
      </c>
      <c r="AB136" s="112">
        <f t="shared" si="92"/>
        <v>3.263703281973708</v>
      </c>
      <c r="AC136" s="216"/>
      <c r="AD136" s="133">
        <f t="shared" si="93"/>
        <v>0.94090103769604594</v>
      </c>
      <c r="AE136" s="133">
        <f t="shared" si="94"/>
        <v>0.94443403502418755</v>
      </c>
      <c r="AF136" s="133">
        <f t="shared" si="95"/>
        <v>0.94808714997497989</v>
      </c>
    </row>
    <row r="137" spans="1:32" x14ac:dyDescent="0.25">
      <c r="A137" s="39">
        <v>149</v>
      </c>
      <c r="B137" s="62">
        <f t="shared" si="70"/>
        <v>109.96521529848765</v>
      </c>
      <c r="C137" s="62">
        <f t="shared" si="71"/>
        <v>103.44525428782049</v>
      </c>
      <c r="D137" s="110">
        <f t="shared" si="84"/>
        <v>106.70523479315406</v>
      </c>
      <c r="E137" s="111">
        <f t="shared" si="82"/>
        <v>3.0748185311345062</v>
      </c>
      <c r="F137" s="111">
        <f t="shared" si="83"/>
        <v>2.6284689353041228</v>
      </c>
      <c r="G137" s="110">
        <f t="shared" si="85"/>
        <v>2.8516437332193147</v>
      </c>
      <c r="H137" s="63">
        <f t="shared" si="72"/>
        <v>3.0299535507974209</v>
      </c>
      <c r="I137" s="63">
        <f t="shared" si="73"/>
        <v>2.8151041330811548</v>
      </c>
      <c r="J137" s="110">
        <f t="shared" si="86"/>
        <v>2.9225288419392879</v>
      </c>
      <c r="K137" s="64">
        <f t="shared" si="68"/>
        <v>108.15288099512239</v>
      </c>
      <c r="L137" s="64">
        <f t="shared" si="69"/>
        <v>102.13113031621059</v>
      </c>
      <c r="M137" s="64">
        <f t="shared" si="87"/>
        <v>105.14200565566648</v>
      </c>
      <c r="N137" s="67">
        <f t="shared" si="74"/>
        <v>3.1918292168250599</v>
      </c>
      <c r="O137" s="67">
        <f t="shared" si="75"/>
        <v>2.7673833176112237</v>
      </c>
      <c r="P137" s="116">
        <f t="shared" si="88"/>
        <v>2.9796062672181418</v>
      </c>
      <c r="Q137" s="67">
        <f t="shared" si="76"/>
        <v>3.216138715315294</v>
      </c>
      <c r="R137" s="67">
        <f t="shared" si="77"/>
        <v>2.9888879034432039</v>
      </c>
      <c r="S137" s="116">
        <f t="shared" si="89"/>
        <v>3.102513309379249</v>
      </c>
      <c r="T137" s="65">
        <f t="shared" si="78"/>
        <v>106.34054669175714</v>
      </c>
      <c r="U137" s="65">
        <f t="shared" si="79"/>
        <v>100.81700634460068</v>
      </c>
      <c r="V137" s="113">
        <f t="shared" si="90"/>
        <v>103.57877651817891</v>
      </c>
      <c r="W137" s="112">
        <f t="shared" ref="W137:W188" si="96">3.6288 * (1-EXP(-(EXP(-5.0524)*($T136^1.2753))))</f>
        <v>3.3088399025156137</v>
      </c>
      <c r="X137" s="112">
        <f t="shared" ref="X137:X188" si="97">3.7136 * (1-EXP(-(EXP(-4.0019)*($U136^0.961))))</f>
        <v>2.9062976999183245</v>
      </c>
      <c r="Y137" s="112">
        <f t="shared" si="91"/>
        <v>3.1075688012169689</v>
      </c>
      <c r="Z137" s="66">
        <f t="shared" si="80"/>
        <v>3.4023238798331668</v>
      </c>
      <c r="AA137" s="66">
        <f t="shared" si="81"/>
        <v>3.1626716738052529</v>
      </c>
      <c r="AB137" s="112">
        <f t="shared" si="92"/>
        <v>3.2824977768192101</v>
      </c>
      <c r="AC137" s="216"/>
      <c r="AD137" s="133">
        <f t="shared" si="93"/>
        <v>0.9407088778667918</v>
      </c>
      <c r="AE137" s="133">
        <f t="shared" si="94"/>
        <v>0.94432186527529138</v>
      </c>
      <c r="AF137" s="133">
        <f t="shared" si="95"/>
        <v>0.94805800309483823</v>
      </c>
    </row>
    <row r="138" spans="1:32" x14ac:dyDescent="0.25">
      <c r="A138" s="39">
        <v>150</v>
      </c>
      <c r="B138" s="62">
        <f t="shared" si="70"/>
        <v>110.97718117383438</v>
      </c>
      <c r="C138" s="62">
        <f t="shared" si="71"/>
        <v>104.3768003780757</v>
      </c>
      <c r="D138" s="110">
        <f t="shared" si="84"/>
        <v>107.67699077595503</v>
      </c>
      <c r="E138" s="111">
        <f t="shared" si="82"/>
        <v>3.0805376228227077</v>
      </c>
      <c r="F138" s="111">
        <f t="shared" si="83"/>
        <v>2.636877144931459</v>
      </c>
      <c r="G138" s="110">
        <f t="shared" si="85"/>
        <v>2.8587073838770833</v>
      </c>
      <c r="H138" s="63">
        <f t="shared" si="72"/>
        <v>3.0441121562199087</v>
      </c>
      <c r="I138" s="63">
        <f t="shared" si="73"/>
        <v>2.8306459256450194</v>
      </c>
      <c r="J138" s="110">
        <f t="shared" si="86"/>
        <v>2.937379040932464</v>
      </c>
      <c r="K138" s="64">
        <f t="shared" si="68"/>
        <v>109.1436989309077</v>
      </c>
      <c r="L138" s="64">
        <f t="shared" si="69"/>
        <v>103.05540544953496</v>
      </c>
      <c r="M138" s="64">
        <f t="shared" si="87"/>
        <v>106.09955219022133</v>
      </c>
      <c r="N138" s="67">
        <f t="shared" si="74"/>
        <v>3.1992026490640635</v>
      </c>
      <c r="O138" s="67">
        <f t="shared" si="75"/>
        <v>2.7769952958344377</v>
      </c>
      <c r="P138" s="116">
        <f t="shared" si="88"/>
        <v>2.9880989724492508</v>
      </c>
      <c r="Q138" s="67">
        <f t="shared" si="76"/>
        <v>3.2328791871192033</v>
      </c>
      <c r="R138" s="67">
        <f t="shared" si="77"/>
        <v>3.005890117167497</v>
      </c>
      <c r="S138" s="116">
        <f t="shared" si="89"/>
        <v>3.1193846521433501</v>
      </c>
      <c r="T138" s="65">
        <f t="shared" si="78"/>
        <v>107.31021668798101</v>
      </c>
      <c r="U138" s="65">
        <f t="shared" si="79"/>
        <v>101.7340105209942</v>
      </c>
      <c r="V138" s="113">
        <f t="shared" si="90"/>
        <v>104.5221136044876</v>
      </c>
      <c r="W138" s="112">
        <f t="shared" si="96"/>
        <v>3.3178676753054197</v>
      </c>
      <c r="X138" s="112">
        <f t="shared" si="97"/>
        <v>2.9171134467374165</v>
      </c>
      <c r="Y138" s="112">
        <f t="shared" si="91"/>
        <v>3.1174905610214179</v>
      </c>
      <c r="Z138" s="66">
        <f t="shared" si="80"/>
        <v>3.4216462180184979</v>
      </c>
      <c r="AA138" s="66">
        <f t="shared" si="81"/>
        <v>3.181134308689975</v>
      </c>
      <c r="AB138" s="112">
        <f t="shared" si="92"/>
        <v>3.3013902633542367</v>
      </c>
      <c r="AC138" s="216"/>
      <c r="AD138" s="133">
        <f t="shared" si="93"/>
        <v>0.9405248833503902</v>
      </c>
      <c r="AE138" s="133">
        <f t="shared" si="94"/>
        <v>0.94421763655612523</v>
      </c>
      <c r="AF138" s="133">
        <f t="shared" si="95"/>
        <v>0.9480365771397109</v>
      </c>
    </row>
    <row r="139" spans="1:32" x14ac:dyDescent="0.25">
      <c r="A139" s="39">
        <v>151</v>
      </c>
      <c r="B139" s="62">
        <f t="shared" si="70"/>
        <v>111.98623061733851</v>
      </c>
      <c r="C139" s="62">
        <f t="shared" si="71"/>
        <v>105.30612934637821</v>
      </c>
      <c r="D139" s="110">
        <f t="shared" si="84"/>
        <v>108.64617998185835</v>
      </c>
      <c r="E139" s="111">
        <f t="shared" si="82"/>
        <v>3.0860483938981491</v>
      </c>
      <c r="F139" s="111">
        <f t="shared" si="83"/>
        <v>2.6451445516882468</v>
      </c>
      <c r="G139" s="110">
        <f t="shared" si="85"/>
        <v>2.865596472793198</v>
      </c>
      <c r="H139" s="63">
        <f t="shared" si="72"/>
        <v>3.0583718308007106</v>
      </c>
      <c r="I139" s="63">
        <f t="shared" si="73"/>
        <v>2.8462951677055695</v>
      </c>
      <c r="J139" s="110">
        <f t="shared" si="86"/>
        <v>2.95233349925314</v>
      </c>
      <c r="K139" s="64">
        <f t="shared" si="68"/>
        <v>110.13159664562281</v>
      </c>
      <c r="L139" s="64">
        <f t="shared" si="69"/>
        <v>103.97757478398957</v>
      </c>
      <c r="M139" s="64">
        <f t="shared" si="87"/>
        <v>107.05458571480619</v>
      </c>
      <c r="N139" s="67">
        <f t="shared" si="74"/>
        <v>3.2063427257622168</v>
      </c>
      <c r="O139" s="67">
        <f t="shared" si="75"/>
        <v>2.7864513936775372</v>
      </c>
      <c r="P139" s="116">
        <f t="shared" si="88"/>
        <v>2.996397059719877</v>
      </c>
      <c r="Q139" s="67">
        <f t="shared" si="76"/>
        <v>3.2497190782246763</v>
      </c>
      <c r="R139" s="67">
        <f t="shared" si="77"/>
        <v>3.0229985109661879</v>
      </c>
      <c r="S139" s="116">
        <f t="shared" si="89"/>
        <v>3.1363587945954321</v>
      </c>
      <c r="T139" s="65">
        <f t="shared" si="78"/>
        <v>108.27696267390711</v>
      </c>
      <c r="U139" s="65">
        <f t="shared" si="79"/>
        <v>102.64902022160092</v>
      </c>
      <c r="V139" s="113">
        <f t="shared" si="90"/>
        <v>105.46299144775401</v>
      </c>
      <c r="W139" s="112">
        <f t="shared" si="96"/>
        <v>3.3266370576262845</v>
      </c>
      <c r="X139" s="112">
        <f t="shared" si="97"/>
        <v>2.9277582356668277</v>
      </c>
      <c r="Y139" s="112">
        <f t="shared" si="91"/>
        <v>3.1271976466465561</v>
      </c>
      <c r="Z139" s="66">
        <f t="shared" si="80"/>
        <v>3.441066325648642</v>
      </c>
      <c r="AA139" s="66">
        <f t="shared" si="81"/>
        <v>3.1997018542268068</v>
      </c>
      <c r="AB139" s="112">
        <f t="shared" si="92"/>
        <v>3.3203840899377246</v>
      </c>
      <c r="AC139" s="216"/>
      <c r="AD139" s="133">
        <f t="shared" si="93"/>
        <v>0.94034890509185487</v>
      </c>
      <c r="AE139" s="133">
        <f t="shared" si="94"/>
        <v>0.94412119637713587</v>
      </c>
      <c r="AF139" s="133">
        <f t="shared" si="95"/>
        <v>0.94802271588227305</v>
      </c>
    </row>
    <row r="140" spans="1:32" x14ac:dyDescent="0.25">
      <c r="A140" s="39">
        <v>152</v>
      </c>
      <c r="B140" s="62">
        <f t="shared" si="70"/>
        <v>112.99229055783719</v>
      </c>
      <c r="C140" s="62">
        <f t="shared" si="71"/>
        <v>106.23318170601708</v>
      </c>
      <c r="D140" s="110">
        <f t="shared" si="84"/>
        <v>109.61273613192714</v>
      </c>
      <c r="E140" s="111">
        <f t="shared" si="82"/>
        <v>3.0913577952496807</v>
      </c>
      <c r="F140" s="111">
        <f t="shared" si="83"/>
        <v>2.6532733628286507</v>
      </c>
      <c r="G140" s="110">
        <f t="shared" si="85"/>
        <v>2.8723155790391655</v>
      </c>
      <c r="H140" s="63">
        <f t="shared" si="72"/>
        <v>3.0727371907058991</v>
      </c>
      <c r="I140" s="63">
        <f t="shared" si="73"/>
        <v>2.862053405335423</v>
      </c>
      <c r="J140" s="110">
        <f t="shared" si="86"/>
        <v>2.9673952980206613</v>
      </c>
      <c r="K140" s="64">
        <f t="shared" si="68"/>
        <v>111.11650335809153</v>
      </c>
      <c r="L140" s="64">
        <f t="shared" si="69"/>
        <v>104.89757873896014</v>
      </c>
      <c r="M140" s="64">
        <f t="shared" si="87"/>
        <v>108.00704104852583</v>
      </c>
      <c r="N140" s="67">
        <f t="shared" si="74"/>
        <v>3.2132562027928753</v>
      </c>
      <c r="O140" s="67">
        <f t="shared" si="75"/>
        <v>2.7957538892440432</v>
      </c>
      <c r="P140" s="116">
        <f t="shared" si="88"/>
        <v>3.0045050460184592</v>
      </c>
      <c r="Q140" s="67">
        <f t="shared" si="76"/>
        <v>3.266663045223738</v>
      </c>
      <c r="R140" s="67">
        <f t="shared" si="77"/>
        <v>3.0402148031654077</v>
      </c>
      <c r="S140" s="116">
        <f t="shared" si="89"/>
        <v>3.1534389241945728</v>
      </c>
      <c r="T140" s="65">
        <f t="shared" si="78"/>
        <v>109.24071615834588</v>
      </c>
      <c r="U140" s="65">
        <f t="shared" si="79"/>
        <v>103.56197577190318</v>
      </c>
      <c r="V140" s="113">
        <f t="shared" si="90"/>
        <v>106.40134596512453</v>
      </c>
      <c r="W140" s="112">
        <f t="shared" si="96"/>
        <v>3.3351546103360694</v>
      </c>
      <c r="X140" s="112">
        <f t="shared" si="97"/>
        <v>2.9382344156594362</v>
      </c>
      <c r="Y140" s="112">
        <f t="shared" si="91"/>
        <v>3.136694512997753</v>
      </c>
      <c r="Z140" s="66">
        <f t="shared" si="80"/>
        <v>3.4605888997415768</v>
      </c>
      <c r="AA140" s="66">
        <f t="shared" si="81"/>
        <v>3.218376200995392</v>
      </c>
      <c r="AB140" s="112">
        <f t="shared" si="92"/>
        <v>3.3394825503684844</v>
      </c>
      <c r="AC140" s="216"/>
      <c r="AD140" s="133">
        <f t="shared" si="93"/>
        <v>0.94018079624325923</v>
      </c>
      <c r="AE140" s="133">
        <f t="shared" si="94"/>
        <v>0.94403239454818089</v>
      </c>
      <c r="AF140" s="133">
        <f t="shared" si="95"/>
        <v>0.94801626549013751</v>
      </c>
    </row>
    <row r="141" spans="1:32" x14ac:dyDescent="0.25">
      <c r="A141" s="39">
        <v>153</v>
      </c>
      <c r="B141" s="62">
        <f t="shared" si="70"/>
        <v>113.99528998832801</v>
      </c>
      <c r="C141" s="62">
        <f t="shared" si="71"/>
        <v>107.15789947637136</v>
      </c>
      <c r="D141" s="110">
        <f t="shared" si="84"/>
        <v>110.57659473234969</v>
      </c>
      <c r="E141" s="111">
        <f t="shared" si="82"/>
        <v>3.09647260299944</v>
      </c>
      <c r="F141" s="111">
        <f t="shared" si="83"/>
        <v>2.6612657674508418</v>
      </c>
      <c r="G141" s="110">
        <f t="shared" si="85"/>
        <v>2.8788691852251409</v>
      </c>
      <c r="H141" s="63">
        <f t="shared" si="72"/>
        <v>3.0872127230263562</v>
      </c>
      <c r="I141" s="63">
        <f t="shared" si="73"/>
        <v>2.8779221647608857</v>
      </c>
      <c r="J141" s="110">
        <f t="shared" si="86"/>
        <v>2.9825674438936209</v>
      </c>
      <c r="K141" s="64">
        <f t="shared" si="68"/>
        <v>112.09835031986876</v>
      </c>
      <c r="L141" s="64">
        <f t="shared" si="69"/>
        <v>105.81535920371643</v>
      </c>
      <c r="M141" s="64">
        <f t="shared" si="87"/>
        <v>108.95685476179258</v>
      </c>
      <c r="N141" s="67">
        <f t="shared" si="74"/>
        <v>3.2199496993392831</v>
      </c>
      <c r="O141" s="67">
        <f t="shared" si="75"/>
        <v>2.8049050483113236</v>
      </c>
      <c r="P141" s="116">
        <f t="shared" si="88"/>
        <v>3.0124273738253033</v>
      </c>
      <c r="Q141" s="67">
        <f t="shared" si="76"/>
        <v>3.283715636532067</v>
      </c>
      <c r="R141" s="67">
        <f t="shared" si="77"/>
        <v>3.0575406915726902</v>
      </c>
      <c r="S141" s="116">
        <f t="shared" si="89"/>
        <v>3.1706281640523786</v>
      </c>
      <c r="T141" s="65">
        <f t="shared" si="78"/>
        <v>110.20141065140949</v>
      </c>
      <c r="U141" s="65">
        <f t="shared" si="79"/>
        <v>104.4728189310615</v>
      </c>
      <c r="V141" s="113">
        <f t="shared" si="90"/>
        <v>107.33711479123549</v>
      </c>
      <c r="W141" s="112">
        <f t="shared" si="96"/>
        <v>3.3434267956791257</v>
      </c>
      <c r="X141" s="112">
        <f t="shared" si="97"/>
        <v>2.9485443291718059</v>
      </c>
      <c r="Y141" s="112">
        <f t="shared" si="91"/>
        <v>3.1459855624254658</v>
      </c>
      <c r="Z141" s="66">
        <f t="shared" si="80"/>
        <v>3.4802185500377774</v>
      </c>
      <c r="AA141" s="66">
        <f t="shared" si="81"/>
        <v>3.2371592183844946</v>
      </c>
      <c r="AB141" s="112">
        <f t="shared" si="92"/>
        <v>3.3586888842111362</v>
      </c>
      <c r="AC141" s="216"/>
      <c r="AD141" s="133">
        <f t="shared" si="93"/>
        <v>0.94002041213582832</v>
      </c>
      <c r="AE141" s="133">
        <f t="shared" si="94"/>
        <v>0.94395108314953757</v>
      </c>
      <c r="AF141" s="133">
        <f t="shared" si="95"/>
        <v>0.94801707449581796</v>
      </c>
    </row>
    <row r="142" spans="1:32" x14ac:dyDescent="0.25">
      <c r="A142" s="39">
        <v>154</v>
      </c>
      <c r="B142" s="62">
        <f t="shared" si="70"/>
        <v>114.99515994467038</v>
      </c>
      <c r="C142" s="62">
        <f t="shared" si="71"/>
        <v>108.08022616779229</v>
      </c>
      <c r="D142" s="110">
        <f t="shared" si="84"/>
        <v>111.53769305623133</v>
      </c>
      <c r="E142" s="111">
        <f t="shared" si="82"/>
        <v>3.1013994185215674</v>
      </c>
      <c r="F142" s="111">
        <f t="shared" si="83"/>
        <v>2.669123935702058</v>
      </c>
      <c r="G142" s="110">
        <f t="shared" si="85"/>
        <v>2.8852616771118127</v>
      </c>
      <c r="H142" s="63">
        <f t="shared" si="72"/>
        <v>3.1018027883014185</v>
      </c>
      <c r="I142" s="63">
        <f t="shared" si="73"/>
        <v>2.8939029527487823</v>
      </c>
      <c r="J142" s="110">
        <f t="shared" si="86"/>
        <v>2.9978528705251004</v>
      </c>
      <c r="K142" s="64">
        <f t="shared" si="68"/>
        <v>113.07707079358403</v>
      </c>
      <c r="L142" s="64">
        <f t="shared" si="69"/>
        <v>106.73085952328813</v>
      </c>
      <c r="M142" s="64">
        <f t="shared" si="87"/>
        <v>109.90396515843608</v>
      </c>
      <c r="N142" s="67">
        <f t="shared" si="74"/>
        <v>3.2264296962662198</v>
      </c>
      <c r="O142" s="67">
        <f t="shared" si="75"/>
        <v>2.8139071232176622</v>
      </c>
      <c r="P142" s="116">
        <f t="shared" si="88"/>
        <v>3.0201684097419408</v>
      </c>
      <c r="Q142" s="67">
        <f t="shared" si="76"/>
        <v>3.3008812939189243</v>
      </c>
      <c r="R142" s="67">
        <f t="shared" si="77"/>
        <v>3.0749778537945032</v>
      </c>
      <c r="S142" s="116">
        <f t="shared" si="89"/>
        <v>3.1879295738567137</v>
      </c>
      <c r="T142" s="65">
        <f t="shared" si="78"/>
        <v>111.15898164249766</v>
      </c>
      <c r="U142" s="65">
        <f t="shared" si="79"/>
        <v>105.38149287878396</v>
      </c>
      <c r="V142" s="113">
        <f t="shared" si="90"/>
        <v>108.27023726064081</v>
      </c>
      <c r="W142" s="112">
        <f t="shared" si="96"/>
        <v>3.3514599740108721</v>
      </c>
      <c r="X142" s="112">
        <f t="shared" si="97"/>
        <v>2.958690310733266</v>
      </c>
      <c r="Y142" s="112">
        <f t="shared" si="91"/>
        <v>3.1550751423720689</v>
      </c>
      <c r="Z142" s="66">
        <f t="shared" si="80"/>
        <v>3.4999597995364304</v>
      </c>
      <c r="AA142" s="66">
        <f t="shared" si="81"/>
        <v>3.2560527548402241</v>
      </c>
      <c r="AB142" s="112">
        <f t="shared" si="92"/>
        <v>3.3780062771883275</v>
      </c>
      <c r="AC142" s="216"/>
      <c r="AD142" s="133">
        <f t="shared" si="93"/>
        <v>0.93986761025242116</v>
      </c>
      <c r="AE142" s="133">
        <f t="shared" si="94"/>
        <v>0.94387711650330464</v>
      </c>
      <c r="AF142" s="133">
        <f t="shared" si="95"/>
        <v>0.94802499376708138</v>
      </c>
    </row>
    <row r="143" spans="1:32" x14ac:dyDescent="0.25">
      <c r="A143" s="39">
        <v>155</v>
      </c>
      <c r="B143" s="62">
        <f t="shared" si="70"/>
        <v>115.99183348369831</v>
      </c>
      <c r="C143" s="62">
        <f t="shared" si="71"/>
        <v>109.00010676617255</v>
      </c>
      <c r="D143" s="110">
        <f t="shared" si="84"/>
        <v>112.49597012493544</v>
      </c>
      <c r="E143" s="111">
        <f t="shared" si="82"/>
        <v>3.1061446688526195</v>
      </c>
      <c r="F143" s="111">
        <f t="shared" si="83"/>
        <v>2.6768500180439645</v>
      </c>
      <c r="G143" s="110">
        <f t="shared" si="85"/>
        <v>2.8914973434482922</v>
      </c>
      <c r="H143" s="63">
        <f t="shared" si="72"/>
        <v>3.1165116231359584</v>
      </c>
      <c r="I143" s="63">
        <f t="shared" si="73"/>
        <v>2.9099972569890085</v>
      </c>
      <c r="J143" s="110">
        <f t="shared" si="86"/>
        <v>3.0132544400624832</v>
      </c>
      <c r="K143" s="64">
        <f t="shared" si="68"/>
        <v>114.05260003072596</v>
      </c>
      <c r="L143" s="64">
        <f t="shared" si="69"/>
        <v>107.64402448402147</v>
      </c>
      <c r="M143" s="64">
        <f t="shared" si="87"/>
        <v>110.84831225737372</v>
      </c>
      <c r="N143" s="67">
        <f t="shared" si="74"/>
        <v>3.2327025348878258</v>
      </c>
      <c r="O143" s="67">
        <f t="shared" si="75"/>
        <v>2.8227623518188287</v>
      </c>
      <c r="P143" s="116">
        <f t="shared" si="88"/>
        <v>3.0277324433533273</v>
      </c>
      <c r="Q143" s="67">
        <f t="shared" si="76"/>
        <v>3.3181643541426808</v>
      </c>
      <c r="R143" s="67">
        <f t="shared" si="77"/>
        <v>3.0925279475552983</v>
      </c>
      <c r="S143" s="116">
        <f t="shared" si="89"/>
        <v>3.2053461508489898</v>
      </c>
      <c r="T143" s="65">
        <f t="shared" si="78"/>
        <v>112.1133665777536</v>
      </c>
      <c r="U143" s="65">
        <f t="shared" si="79"/>
        <v>106.28794220187039</v>
      </c>
      <c r="V143" s="113">
        <f t="shared" si="90"/>
        <v>109.200654389812</v>
      </c>
      <c r="W143" s="112">
        <f t="shared" si="96"/>
        <v>3.359260400923032</v>
      </c>
      <c r="X143" s="112">
        <f t="shared" si="97"/>
        <v>2.968674685593693</v>
      </c>
      <c r="Y143" s="112">
        <f t="shared" si="91"/>
        <v>3.1639675432583623</v>
      </c>
      <c r="Z143" s="66">
        <f t="shared" si="80"/>
        <v>3.5198170851494037</v>
      </c>
      <c r="AA143" s="66">
        <f t="shared" si="81"/>
        <v>3.275058638121588</v>
      </c>
      <c r="AB143" s="112">
        <f t="shared" si="92"/>
        <v>3.3974378616354959</v>
      </c>
      <c r="AC143" s="216"/>
      <c r="AD143" s="133">
        <f t="shared" si="93"/>
        <v>0.93972225020041267</v>
      </c>
      <c r="AE143" s="133">
        <f t="shared" si="94"/>
        <v>0.94381035114519085</v>
      </c>
      <c r="AF143" s="133">
        <f t="shared" si="95"/>
        <v>0.94803987647768018</v>
      </c>
    </row>
    <row r="144" spans="1:32" x14ac:dyDescent="0.25">
      <c r="A144" s="39">
        <v>156</v>
      </c>
      <c r="B144" s="62">
        <f t="shared" si="70"/>
        <v>116.98524566078375</v>
      </c>
      <c r="C144" s="62">
        <f t="shared" si="71"/>
        <v>109.91748771722168</v>
      </c>
      <c r="D144" s="110">
        <f t="shared" si="84"/>
        <v>113.45136668900271</v>
      </c>
      <c r="E144" s="111">
        <f t="shared" si="82"/>
        <v>3.1107146074624357</v>
      </c>
      <c r="F144" s="111">
        <f t="shared" si="83"/>
        <v>2.6844461445758681</v>
      </c>
      <c r="G144" s="110">
        <f t="shared" si="85"/>
        <v>2.8975803760191519</v>
      </c>
      <c r="H144" s="63">
        <f t="shared" si="72"/>
        <v>3.1313433428901076</v>
      </c>
      <c r="I144" s="63">
        <f t="shared" si="73"/>
        <v>2.9262065464798575</v>
      </c>
      <c r="J144" s="110">
        <f t="shared" si="86"/>
        <v>3.0287749446849825</v>
      </c>
      <c r="K144" s="64">
        <f t="shared" ref="K144:K175" si="98">(B144+T144)/2</f>
        <v>115.02487524890546</v>
      </c>
      <c r="L144" s="64">
        <f t="shared" ref="L144:L175" si="99">(C144+U144)/2</f>
        <v>108.55480029883581</v>
      </c>
      <c r="M144" s="64">
        <f t="shared" si="87"/>
        <v>111.78983777387063</v>
      </c>
      <c r="N144" s="67">
        <f t="shared" si="74"/>
        <v>3.2387744161056125</v>
      </c>
      <c r="O144" s="67">
        <f t="shared" si="75"/>
        <v>2.8314729565116821</v>
      </c>
      <c r="P144" s="116">
        <f t="shared" si="88"/>
        <v>3.0351236863086473</v>
      </c>
      <c r="Q144" s="67">
        <f t="shared" si="76"/>
        <v>3.3355690506757965</v>
      </c>
      <c r="R144" s="67">
        <f t="shared" si="77"/>
        <v>3.1101926110221907</v>
      </c>
      <c r="S144" s="116">
        <f t="shared" si="89"/>
        <v>3.2228808308489936</v>
      </c>
      <c r="T144" s="65">
        <f t="shared" si="78"/>
        <v>113.06450483702717</v>
      </c>
      <c r="U144" s="65">
        <f t="shared" si="79"/>
        <v>107.19211288044995</v>
      </c>
      <c r="V144" s="113">
        <f t="shared" si="90"/>
        <v>110.12830885873856</v>
      </c>
      <c r="W144" s="112">
        <f t="shared" si="96"/>
        <v>3.3668342247487897</v>
      </c>
      <c r="X144" s="112">
        <f t="shared" si="97"/>
        <v>2.9784997684474956</v>
      </c>
      <c r="Y144" s="112">
        <f t="shared" si="91"/>
        <v>3.1726669965981427</v>
      </c>
      <c r="Z144" s="66">
        <f t="shared" si="80"/>
        <v>3.5397947584614857</v>
      </c>
      <c r="AA144" s="66">
        <f t="shared" si="81"/>
        <v>3.2941786755645239</v>
      </c>
      <c r="AB144" s="112">
        <f t="shared" si="92"/>
        <v>3.416986717013005</v>
      </c>
      <c r="AC144" s="216"/>
      <c r="AD144" s="133">
        <f t="shared" si="93"/>
        <v>0.93958419368493618</v>
      </c>
      <c r="AE144" s="133">
        <f t="shared" si="94"/>
        <v>0.94375064579666901</v>
      </c>
      <c r="AF144" s="133">
        <f t="shared" si="95"/>
        <v>0.94806157807844493</v>
      </c>
    </row>
    <row r="145" spans="1:32" x14ac:dyDescent="0.25">
      <c r="A145" s="39">
        <v>157</v>
      </c>
      <c r="B145" s="62">
        <f t="shared" si="70"/>
        <v>117.97533350688626</v>
      </c>
      <c r="C145" s="62">
        <f t="shared" si="71"/>
        <v>110.83231691046819</v>
      </c>
      <c r="D145" s="110">
        <f t="shared" si="84"/>
        <v>114.40382520867723</v>
      </c>
      <c r="E145" s="111">
        <f t="shared" si="82"/>
        <v>3.1151153153555291</v>
      </c>
      <c r="F145" s="111">
        <f t="shared" si="83"/>
        <v>2.6919144244133575</v>
      </c>
      <c r="G145" s="110">
        <f t="shared" si="85"/>
        <v>2.9035148698844431</v>
      </c>
      <c r="H145" s="63">
        <f t="shared" ref="H145:H176" si="100">E145/(B145-B144)</f>
        <v>3.1463019444367535</v>
      </c>
      <c r="I145" s="63">
        <f t="shared" ref="I145:I176" si="101">F145/(C145-C144)</f>
        <v>2.9425322719100953</v>
      </c>
      <c r="J145" s="110">
        <f t="shared" si="86"/>
        <v>3.0444171081734241</v>
      </c>
      <c r="K145" s="64">
        <f t="shared" si="98"/>
        <v>115.99383560863367</v>
      </c>
      <c r="L145" s="64">
        <f t="shared" si="99"/>
        <v>109.46313459219991</v>
      </c>
      <c r="M145" s="64">
        <f t="shared" si="87"/>
        <v>112.72848510041679</v>
      </c>
      <c r="N145" s="67">
        <f t="shared" ref="N145:N176" si="102">(E145+W145)/2</f>
        <v>3.2446513998915254</v>
      </c>
      <c r="O145" s="67">
        <f t="shared" ref="O145:O176" si="103">(F145+X145)/2</f>
        <v>2.8400411433223338</v>
      </c>
      <c r="P145" s="116">
        <f t="shared" si="88"/>
        <v>3.0423462716069296</v>
      </c>
      <c r="Q145" s="67">
        <f t="shared" ref="Q145:Q176" si="104">(H145+Z145)/2</f>
        <v>3.3530995155137102</v>
      </c>
      <c r="R145" s="67">
        <f t="shared" ref="R145:R176" si="105">(I145+AA145)/2</f>
        <v>3.1279734631294906</v>
      </c>
      <c r="S145" s="116">
        <f t="shared" si="89"/>
        <v>3.2405364893216007</v>
      </c>
      <c r="T145" s="65">
        <f t="shared" si="78"/>
        <v>114.0123377103811</v>
      </c>
      <c r="U145" s="65">
        <f t="shared" si="79"/>
        <v>108.09395227393163</v>
      </c>
      <c r="V145" s="113">
        <f t="shared" si="90"/>
        <v>111.05314499215638</v>
      </c>
      <c r="W145" s="112">
        <f t="shared" si="96"/>
        <v>3.3741874844275213</v>
      </c>
      <c r="X145" s="112">
        <f t="shared" si="97"/>
        <v>2.9881678622313097</v>
      </c>
      <c r="Y145" s="112">
        <f t="shared" si="91"/>
        <v>3.1811776733294153</v>
      </c>
      <c r="Z145" s="66">
        <f t="shared" ref="Z145:Z176" si="106">W145/(T145-T144)</f>
        <v>3.5598970865906674</v>
      </c>
      <c r="AA145" s="66">
        <f t="shared" ref="AA145:AA176" si="107">X145/(U145-U144)</f>
        <v>3.313414654348886</v>
      </c>
      <c r="AB145" s="112">
        <f t="shared" si="92"/>
        <v>3.4366558704697767</v>
      </c>
      <c r="AC145" s="216"/>
      <c r="AD145" s="133">
        <f t="shared" si="93"/>
        <v>0.93945330448249065</v>
      </c>
      <c r="AE145" s="133">
        <f t="shared" si="94"/>
        <v>0.94369786133748923</v>
      </c>
      <c r="AF145" s="133">
        <f t="shared" si="95"/>
        <v>0.94808995626873649</v>
      </c>
    </row>
    <row r="146" spans="1:32" x14ac:dyDescent="0.25">
      <c r="A146" s="39">
        <v>158</v>
      </c>
      <c r="B146" s="62">
        <f t="shared" si="70"/>
        <v>118.962036005126</v>
      </c>
      <c r="C146" s="62">
        <f t="shared" si="71"/>
        <v>111.7445436630083</v>
      </c>
      <c r="D146" s="110">
        <f t="shared" si="84"/>
        <v>115.35328983406714</v>
      </c>
      <c r="E146" s="111">
        <f t="shared" si="82"/>
        <v>3.1193527024743331</v>
      </c>
      <c r="F146" s="111">
        <f t="shared" si="83"/>
        <v>2.699256945120057</v>
      </c>
      <c r="G146" s="110">
        <f t="shared" si="85"/>
        <v>2.909304823797195</v>
      </c>
      <c r="H146" s="63">
        <f t="shared" si="100"/>
        <v>3.1613913089702459</v>
      </c>
      <c r="I146" s="63">
        <f t="shared" si="101"/>
        <v>2.9589758660376289</v>
      </c>
      <c r="J146" s="110">
        <f t="shared" si="86"/>
        <v>3.0601835875039374</v>
      </c>
      <c r="K146" s="64">
        <f t="shared" si="98"/>
        <v>116.95942218965052</v>
      </c>
      <c r="L146" s="64">
        <f t="shared" si="99"/>
        <v>110.36897638484655</v>
      </c>
      <c r="M146" s="64">
        <f t="shared" si="87"/>
        <v>113.66419928724854</v>
      </c>
      <c r="N146" s="67">
        <f t="shared" si="102"/>
        <v>3.2503394050917542</v>
      </c>
      <c r="O146" s="67">
        <f t="shared" si="103"/>
        <v>2.8484691010565175</v>
      </c>
      <c r="P146" s="116">
        <f t="shared" si="88"/>
        <v>3.0494042530741359</v>
      </c>
      <c r="Q146" s="67">
        <f t="shared" si="104"/>
        <v>3.3707597810543626</v>
      </c>
      <c r="R146" s="67">
        <f t="shared" si="105"/>
        <v>3.1458721039063349</v>
      </c>
      <c r="S146" s="116">
        <f t="shared" si="89"/>
        <v>3.2583159424803485</v>
      </c>
      <c r="T146" s="65">
        <f t="shared" si="78"/>
        <v>114.95680837417505</v>
      </c>
      <c r="U146" s="65">
        <f t="shared" si="79"/>
        <v>108.99340910668479</v>
      </c>
      <c r="V146" s="113">
        <f t="shared" si="90"/>
        <v>111.97510874042993</v>
      </c>
      <c r="W146" s="112">
        <f t="shared" si="96"/>
        <v>3.3813261077091754</v>
      </c>
      <c r="X146" s="112">
        <f t="shared" si="97"/>
        <v>2.997681256992978</v>
      </c>
      <c r="Y146" s="112">
        <f t="shared" si="91"/>
        <v>3.1895036823510767</v>
      </c>
      <c r="Z146" s="66">
        <f t="shared" si="106"/>
        <v>3.5801282531384793</v>
      </c>
      <c r="AA146" s="66">
        <f t="shared" si="107"/>
        <v>3.3327683417750409</v>
      </c>
      <c r="AB146" s="112">
        <f t="shared" si="92"/>
        <v>3.4564482974567601</v>
      </c>
      <c r="AC146" s="216"/>
      <c r="AD146" s="133">
        <f t="shared" si="93"/>
        <v>0.93932944841489852</v>
      </c>
      <c r="AE146" s="133">
        <f t="shared" si="94"/>
        <v>0.94365186077853969</v>
      </c>
      <c r="AF146" s="133">
        <f t="shared" si="95"/>
        <v>0.94812487096823461</v>
      </c>
    </row>
    <row r="147" spans="1:32" x14ac:dyDescent="0.25">
      <c r="A147" s="39">
        <v>159</v>
      </c>
      <c r="B147" s="62">
        <f t="shared" si="70"/>
        <v>119.94529406691528</v>
      </c>
      <c r="C147" s="62">
        <f t="shared" si="71"/>
        <v>112.65411870301921</v>
      </c>
      <c r="D147" s="110">
        <f t="shared" si="84"/>
        <v>116.29970638496724</v>
      </c>
      <c r="E147" s="111">
        <f t="shared" si="82"/>
        <v>3.1234325093769368</v>
      </c>
      <c r="F147" s="111">
        <f t="shared" si="83"/>
        <v>2.7064757721901898</v>
      </c>
      <c r="G147" s="110">
        <f t="shared" si="85"/>
        <v>2.9149541407835633</v>
      </c>
      <c r="H147" s="63">
        <f t="shared" si="100"/>
        <v>3.1766152048558483</v>
      </c>
      <c r="I147" s="63">
        <f t="shared" si="101"/>
        <v>2.9755387440685883</v>
      </c>
      <c r="J147" s="110">
        <f t="shared" si="86"/>
        <v>3.0760769744622181</v>
      </c>
      <c r="K147" s="64">
        <f t="shared" si="98"/>
        <v>117.92157796683863</v>
      </c>
      <c r="L147" s="64">
        <f t="shared" si="99"/>
        <v>111.27227607824366</v>
      </c>
      <c r="M147" s="64">
        <f t="shared" si="87"/>
        <v>114.59692702254114</v>
      </c>
      <c r="N147" s="67">
        <f t="shared" si="102"/>
        <v>3.2558442095278828</v>
      </c>
      <c r="O147" s="67">
        <f t="shared" si="103"/>
        <v>2.8567590005097596</v>
      </c>
      <c r="P147" s="116">
        <f t="shared" si="88"/>
        <v>3.0563016050188212</v>
      </c>
      <c r="Q147" s="67">
        <f t="shared" si="104"/>
        <v>3.3885537820391667</v>
      </c>
      <c r="R147" s="67">
        <f t="shared" si="105"/>
        <v>3.1638901148059073</v>
      </c>
      <c r="S147" s="116">
        <f t="shared" si="89"/>
        <v>3.276221948422537</v>
      </c>
      <c r="T147" s="65">
        <f t="shared" si="78"/>
        <v>115.89786186676197</v>
      </c>
      <c r="U147" s="65">
        <f t="shared" si="79"/>
        <v>109.89043345346811</v>
      </c>
      <c r="V147" s="113">
        <f t="shared" si="90"/>
        <v>112.89414766011504</v>
      </c>
      <c r="W147" s="112">
        <f t="shared" si="96"/>
        <v>3.3882559096788287</v>
      </c>
      <c r="X147" s="112">
        <f t="shared" si="97"/>
        <v>3.0070422288293299</v>
      </c>
      <c r="Y147" s="112">
        <f t="shared" si="91"/>
        <v>3.1976490692540791</v>
      </c>
      <c r="Z147" s="66">
        <f t="shared" si="106"/>
        <v>3.6004923592224851</v>
      </c>
      <c r="AA147" s="66">
        <f t="shared" si="107"/>
        <v>3.3522414855432259</v>
      </c>
      <c r="AB147" s="112">
        <f t="shared" si="92"/>
        <v>3.4763669223828555</v>
      </c>
      <c r="AC147" s="216"/>
      <c r="AD147" s="133">
        <f t="shared" si="93"/>
        <v>0.93921249332359413</v>
      </c>
      <c r="AE147" s="133">
        <f t="shared" si="94"/>
        <v>0.94361250923503714</v>
      </c>
      <c r="AF147" s="133">
        <f t="shared" si="95"/>
        <v>0.94816618428905874</v>
      </c>
    </row>
    <row r="148" spans="1:32" x14ac:dyDescent="0.25">
      <c r="A148" s="39">
        <v>160</v>
      </c>
      <c r="B148" s="62">
        <f t="shared" si="70"/>
        <v>120.9250505076822</v>
      </c>
      <c r="C148" s="62">
        <f t="shared" si="71"/>
        <v>113.56099415305644</v>
      </c>
      <c r="D148" s="110">
        <f t="shared" si="84"/>
        <v>117.24302233036931</v>
      </c>
      <c r="E148" s="111">
        <f t="shared" si="82"/>
        <v>3.1273603091632896</v>
      </c>
      <c r="F148" s="111">
        <f t="shared" si="83"/>
        <v>2.7135729485797215</v>
      </c>
      <c r="G148" s="110">
        <f t="shared" si="85"/>
        <v>2.9204666288715053</v>
      </c>
      <c r="H148" s="63">
        <f t="shared" si="100"/>
        <v>3.1919772905144654</v>
      </c>
      <c r="I148" s="63">
        <f t="shared" si="101"/>
        <v>2.9922223040311771</v>
      </c>
      <c r="J148" s="110">
        <f t="shared" si="86"/>
        <v>3.0920997972728212</v>
      </c>
      <c r="K148" s="64">
        <f t="shared" si="98"/>
        <v>118.88024778575586</v>
      </c>
      <c r="L148" s="64">
        <f t="shared" si="99"/>
        <v>112.17298543884039</v>
      </c>
      <c r="M148" s="64">
        <f t="shared" si="87"/>
        <v>115.52661661229811</v>
      </c>
      <c r="N148" s="67">
        <f t="shared" si="102"/>
        <v>3.2611714503728813</v>
      </c>
      <c r="O148" s="67">
        <f t="shared" si="103"/>
        <v>2.8649129937350715</v>
      </c>
      <c r="P148" s="116">
        <f t="shared" si="88"/>
        <v>3.0630422220539764</v>
      </c>
      <c r="Q148" s="67">
        <f t="shared" si="104"/>
        <v>3.4064853575494825</v>
      </c>
      <c r="R148" s="67">
        <f t="shared" si="105"/>
        <v>3.1820290590341465</v>
      </c>
      <c r="S148" s="116">
        <f t="shared" si="89"/>
        <v>3.2942572082918145</v>
      </c>
      <c r="T148" s="65">
        <f t="shared" si="78"/>
        <v>116.83544506382951</v>
      </c>
      <c r="U148" s="65">
        <f t="shared" si="79"/>
        <v>110.78497672462431</v>
      </c>
      <c r="V148" s="113">
        <f t="shared" si="90"/>
        <v>113.81021089422691</v>
      </c>
      <c r="W148" s="112">
        <f t="shared" si="96"/>
        <v>3.3949825915824725</v>
      </c>
      <c r="X148" s="112">
        <f t="shared" si="97"/>
        <v>3.0162530388904214</v>
      </c>
      <c r="Y148" s="112">
        <f t="shared" si="91"/>
        <v>3.205617815236447</v>
      </c>
      <c r="Z148" s="66">
        <f t="shared" si="106"/>
        <v>3.6209934245844995</v>
      </c>
      <c r="AA148" s="66">
        <f t="shared" si="107"/>
        <v>3.3718358140371163</v>
      </c>
      <c r="AB148" s="112">
        <f t="shared" si="92"/>
        <v>3.4964146193108077</v>
      </c>
      <c r="AC148" s="216"/>
      <c r="AD148" s="133">
        <f t="shared" si="93"/>
        <v>0.93910230904424608</v>
      </c>
      <c r="AE148" s="133">
        <f t="shared" si="94"/>
        <v>0.94357967390004771</v>
      </c>
      <c r="AF148" s="133">
        <f t="shared" si="95"/>
        <v>0.94821376050821127</v>
      </c>
    </row>
    <row r="149" spans="1:32" x14ac:dyDescent="0.25">
      <c r="A149" s="39">
        <v>161</v>
      </c>
      <c r="B149" s="62">
        <f t="shared" si="70"/>
        <v>121.90125002222109</v>
      </c>
      <c r="C149" s="62">
        <f t="shared" si="71"/>
        <v>114.46512351315243</v>
      </c>
      <c r="D149" s="110">
        <f t="shared" si="84"/>
        <v>118.18318676768676</v>
      </c>
      <c r="E149" s="111">
        <f t="shared" si="82"/>
        <v>3.1311415096250852</v>
      </c>
      <c r="F149" s="111">
        <f t="shared" si="83"/>
        <v>2.7205504942839345</v>
      </c>
      <c r="G149" s="110">
        <f t="shared" si="85"/>
        <v>2.9258460019545098</v>
      </c>
      <c r="H149" s="63">
        <f t="shared" si="100"/>
        <v>3.2074811173247553</v>
      </c>
      <c r="I149" s="63">
        <f t="shared" si="101"/>
        <v>3.0090279271487081</v>
      </c>
      <c r="J149" s="110">
        <f t="shared" si="86"/>
        <v>3.1082545222367317</v>
      </c>
      <c r="K149" s="64">
        <f t="shared" si="98"/>
        <v>119.83537833782006</v>
      </c>
      <c r="L149" s="64">
        <f t="shared" si="99"/>
        <v>113.07105758210493</v>
      </c>
      <c r="M149" s="64">
        <f t="shared" si="87"/>
        <v>116.4532179599625</v>
      </c>
      <c r="N149" s="67">
        <f t="shared" si="102"/>
        <v>3.2663266247803442</v>
      </c>
      <c r="O149" s="67">
        <f t="shared" si="103"/>
        <v>2.8729332133658803</v>
      </c>
      <c r="P149" s="116">
        <f t="shared" si="88"/>
        <v>3.0696299190731122</v>
      </c>
      <c r="Q149" s="67">
        <f t="shared" si="104"/>
        <v>3.4245582530450784</v>
      </c>
      <c r="R149" s="67">
        <f t="shared" si="105"/>
        <v>3.2002904818805762</v>
      </c>
      <c r="S149" s="116">
        <f t="shared" si="89"/>
        <v>3.3124243674628273</v>
      </c>
      <c r="T149" s="65">
        <f t="shared" si="78"/>
        <v>117.76950665341901</v>
      </c>
      <c r="U149" s="65">
        <f t="shared" si="79"/>
        <v>111.67699165105742</v>
      </c>
      <c r="V149" s="113">
        <f t="shared" si="90"/>
        <v>114.72324915223822</v>
      </c>
      <c r="W149" s="112">
        <f t="shared" si="96"/>
        <v>3.4015117399356027</v>
      </c>
      <c r="X149" s="112">
        <f t="shared" si="97"/>
        <v>3.0253159324478265</v>
      </c>
      <c r="Y149" s="112">
        <f t="shared" si="91"/>
        <v>3.2134138361917146</v>
      </c>
      <c r="Z149" s="66">
        <f t="shared" si="106"/>
        <v>3.6416353887654016</v>
      </c>
      <c r="AA149" s="66">
        <f t="shared" si="107"/>
        <v>3.3915530366124447</v>
      </c>
      <c r="AB149" s="112">
        <f t="shared" si="92"/>
        <v>3.5165942126889229</v>
      </c>
      <c r="AC149" s="216"/>
      <c r="AD149" s="133">
        <f t="shared" si="93"/>
        <v>0.93899876738168686</v>
      </c>
      <c r="AE149" s="133">
        <f t="shared" si="94"/>
        <v>0.9435532240183172</v>
      </c>
      <c r="AF149" s="133">
        <f t="shared" si="95"/>
        <v>0.94826746604032985</v>
      </c>
    </row>
    <row r="150" spans="1:32" x14ac:dyDescent="0.25">
      <c r="A150" s="39">
        <v>162</v>
      </c>
      <c r="B150" s="62">
        <f t="shared" si="70"/>
        <v>122.87383915970108</v>
      </c>
      <c r="C150" s="62">
        <f t="shared" si="71"/>
        <v>115.36646164373448</v>
      </c>
      <c r="D150" s="110">
        <f t="shared" si="84"/>
        <v>119.12015040171778</v>
      </c>
      <c r="E150" s="111">
        <f t="shared" si="82"/>
        <v>3.1347813555958983</v>
      </c>
      <c r="F150" s="111">
        <f t="shared" si="83"/>
        <v>2.7274104059592923</v>
      </c>
      <c r="G150" s="110">
        <f t="shared" si="85"/>
        <v>2.9310958807775953</v>
      </c>
      <c r="H150" s="63">
        <f t="shared" si="100"/>
        <v>3.2231301325431541</v>
      </c>
      <c r="I150" s="63">
        <f t="shared" si="101"/>
        <v>3.0259569782075477</v>
      </c>
      <c r="J150" s="110">
        <f t="shared" si="86"/>
        <v>3.1245435553753511</v>
      </c>
      <c r="K150" s="64">
        <f t="shared" si="98"/>
        <v>120.78691813517702</v>
      </c>
      <c r="L150" s="64">
        <f t="shared" si="99"/>
        <v>113.96644695637185</v>
      </c>
      <c r="M150" s="64">
        <f t="shared" si="87"/>
        <v>117.37668254577443</v>
      </c>
      <c r="N150" s="67">
        <f t="shared" si="102"/>
        <v>3.2713150907463193</v>
      </c>
      <c r="O150" s="67">
        <f t="shared" si="103"/>
        <v>2.8808217719919815</v>
      </c>
      <c r="P150" s="116">
        <f t="shared" si="88"/>
        <v>3.0760684313691504</v>
      </c>
      <c r="Q150" s="67">
        <f t="shared" si="104"/>
        <v>3.4427761224425097</v>
      </c>
      <c r="R150" s="67">
        <f t="shared" si="105"/>
        <v>3.2186759110473937</v>
      </c>
      <c r="S150" s="116">
        <f t="shared" si="89"/>
        <v>3.3307260167449515</v>
      </c>
      <c r="T150" s="65">
        <f t="shared" si="78"/>
        <v>118.69999711065297</v>
      </c>
      <c r="U150" s="65">
        <f t="shared" si="79"/>
        <v>112.56643226900923</v>
      </c>
      <c r="V150" s="113">
        <f t="shared" si="90"/>
        <v>115.63321468983111</v>
      </c>
      <c r="W150" s="112">
        <f t="shared" si="96"/>
        <v>3.4078488258967403</v>
      </c>
      <c r="X150" s="112">
        <f t="shared" si="97"/>
        <v>3.0342331380246703</v>
      </c>
      <c r="Y150" s="112">
        <f t="shared" si="91"/>
        <v>3.2210409819607051</v>
      </c>
      <c r="Z150" s="66">
        <f t="shared" si="106"/>
        <v>3.662422112341865</v>
      </c>
      <c r="AA150" s="66">
        <f t="shared" si="107"/>
        <v>3.4113948438872397</v>
      </c>
      <c r="AB150" s="112">
        <f t="shared" si="92"/>
        <v>3.5369084781145523</v>
      </c>
      <c r="AC150" s="216"/>
      <c r="AD150" s="133">
        <f t="shared" si="93"/>
        <v>0.93890174208515498</v>
      </c>
      <c r="AE150" s="133">
        <f t="shared" si="94"/>
        <v>0.94353303086041052</v>
      </c>
      <c r="AF150" s="133">
        <f t="shared" si="95"/>
        <v>0.94832716941074569</v>
      </c>
    </row>
    <row r="151" spans="1:32" x14ac:dyDescent="0.25">
      <c r="A151" s="39">
        <v>163</v>
      </c>
      <c r="B151" s="62">
        <f t="shared" si="70"/>
        <v>123.84276629836505</v>
      </c>
      <c r="C151" s="62">
        <f t="shared" si="71"/>
        <v>116.2649647483786</v>
      </c>
      <c r="D151" s="110">
        <f t="shared" si="84"/>
        <v>120.05386552337183</v>
      </c>
      <c r="E151" s="111">
        <f t="shared" si="82"/>
        <v>3.138284931479375</v>
      </c>
      <c r="F151" s="111">
        <f t="shared" si="83"/>
        <v>2.7341546565875792</v>
      </c>
      <c r="G151" s="110">
        <f t="shared" si="85"/>
        <v>2.9362197940334771</v>
      </c>
      <c r="H151" s="63">
        <f t="shared" si="100"/>
        <v>3.2389276822266266</v>
      </c>
      <c r="I151" s="63">
        <f t="shared" si="101"/>
        <v>3.0430108059231733</v>
      </c>
      <c r="J151" s="110">
        <f t="shared" si="86"/>
        <v>3.1409692440749</v>
      </c>
      <c r="K151" s="64">
        <f t="shared" si="98"/>
        <v>121.73481748528337</v>
      </c>
      <c r="L151" s="64">
        <f t="shared" si="99"/>
        <v>114.85910932651464</v>
      </c>
      <c r="M151" s="64">
        <f t="shared" si="87"/>
        <v>118.29696340589901</v>
      </c>
      <c r="N151" s="67">
        <f t="shared" si="102"/>
        <v>3.2761420681839888</v>
      </c>
      <c r="O151" s="67">
        <f t="shared" si="103"/>
        <v>2.8885807615863488</v>
      </c>
      <c r="P151" s="116">
        <f t="shared" si="88"/>
        <v>3.0823614148851686</v>
      </c>
      <c r="Q151" s="67">
        <f t="shared" si="104"/>
        <v>3.4611425302210881</v>
      </c>
      <c r="R151" s="67">
        <f t="shared" si="105"/>
        <v>3.2371868569802733</v>
      </c>
      <c r="S151" s="116">
        <f t="shared" si="89"/>
        <v>3.3491646936006809</v>
      </c>
      <c r="T151" s="65">
        <f t="shared" si="78"/>
        <v>119.62686867220168</v>
      </c>
      <c r="U151" s="65">
        <f t="shared" si="79"/>
        <v>113.45325390465068</v>
      </c>
      <c r="V151" s="113">
        <f t="shared" si="90"/>
        <v>116.54006128842619</v>
      </c>
      <c r="W151" s="112">
        <f t="shared" si="96"/>
        <v>3.4139992048886025</v>
      </c>
      <c r="X151" s="112">
        <f t="shared" si="97"/>
        <v>3.043006866585118</v>
      </c>
      <c r="Y151" s="112">
        <f t="shared" si="91"/>
        <v>3.2285030357368605</v>
      </c>
      <c r="Z151" s="66">
        <f t="shared" si="106"/>
        <v>3.68335737821555</v>
      </c>
      <c r="AA151" s="66">
        <f t="shared" si="107"/>
        <v>3.4313629080373733</v>
      </c>
      <c r="AB151" s="112">
        <f t="shared" si="92"/>
        <v>3.5573601431264619</v>
      </c>
      <c r="AC151" s="216"/>
      <c r="AD151" s="133">
        <f t="shared" si="93"/>
        <v>0.93881110882383056</v>
      </c>
      <c r="AE151" s="133">
        <f t="shared" si="94"/>
        <v>0.94351896769714272</v>
      </c>
      <c r="AF151" s="133">
        <f t="shared" si="95"/>
        <v>0.94839274122883066</v>
      </c>
    </row>
    <row r="152" spans="1:32" x14ac:dyDescent="0.25">
      <c r="A152" s="39">
        <v>164</v>
      </c>
      <c r="B152" s="62">
        <f t="shared" si="70"/>
        <v>124.8079816199495</v>
      </c>
      <c r="C152" s="62">
        <f t="shared" si="71"/>
        <v>117.16059035641618</v>
      </c>
      <c r="D152" s="110">
        <f t="shared" si="84"/>
        <v>120.98428598818285</v>
      </c>
      <c r="E152" s="111">
        <f t="shared" si="82"/>
        <v>3.1416571639345587</v>
      </c>
      <c r="F152" s="111">
        <f t="shared" si="83"/>
        <v>2.7407851951802944</v>
      </c>
      <c r="G152" s="110">
        <f t="shared" si="85"/>
        <v>2.9412211795574263</v>
      </c>
      <c r="H152" s="63">
        <f t="shared" si="100"/>
        <v>3.2548770141540668</v>
      </c>
      <c r="I152" s="63">
        <f t="shared" si="101"/>
        <v>3.0601907433014159</v>
      </c>
      <c r="J152" s="110">
        <f t="shared" si="86"/>
        <v>3.1575338787277412</v>
      </c>
      <c r="K152" s="64">
        <f t="shared" si="98"/>
        <v>122.67902846523373</v>
      </c>
      <c r="L152" s="64">
        <f t="shared" si="99"/>
        <v>115.74900175746035</v>
      </c>
      <c r="M152" s="64">
        <f t="shared" si="87"/>
        <v>119.21401511134704</v>
      </c>
      <c r="N152" s="67">
        <f t="shared" si="102"/>
        <v>3.280812640192392</v>
      </c>
      <c r="O152" s="67">
        <f t="shared" si="103"/>
        <v>2.8962122529806806</v>
      </c>
      <c r="P152" s="116">
        <f t="shared" si="88"/>
        <v>3.0885124465865363</v>
      </c>
      <c r="Q152" s="67">
        <f t="shared" si="104"/>
        <v>3.4796609535531</v>
      </c>
      <c r="R152" s="67">
        <f t="shared" si="105"/>
        <v>3.2558248131962801</v>
      </c>
      <c r="S152" s="116">
        <f t="shared" si="89"/>
        <v>3.3677428833746901</v>
      </c>
      <c r="T152" s="65">
        <f t="shared" si="78"/>
        <v>120.55007531051795</v>
      </c>
      <c r="U152" s="65">
        <f t="shared" si="79"/>
        <v>114.33741315850452</v>
      </c>
      <c r="V152" s="113">
        <f t="shared" si="90"/>
        <v>117.44374423451123</v>
      </c>
      <c r="W152" s="112">
        <f t="shared" si="96"/>
        <v>3.4199681164502254</v>
      </c>
      <c r="X152" s="112">
        <f t="shared" si="97"/>
        <v>3.0516393107810669</v>
      </c>
      <c r="Y152" s="112">
        <f t="shared" si="91"/>
        <v>3.2358037136156463</v>
      </c>
      <c r="Z152" s="66">
        <f t="shared" si="106"/>
        <v>3.7044448929521332</v>
      </c>
      <c r="AA152" s="66">
        <f t="shared" si="107"/>
        <v>3.4514588830911443</v>
      </c>
      <c r="AB152" s="112">
        <f t="shared" si="92"/>
        <v>3.577951888021639</v>
      </c>
      <c r="AC152" s="216"/>
      <c r="AD152" s="133">
        <f t="shared" si="93"/>
        <v>0.93872674516265908</v>
      </c>
      <c r="AE152" s="133">
        <f t="shared" si="94"/>
        <v>0.94351090977430352</v>
      </c>
      <c r="AF152" s="133">
        <f t="shared" si="95"/>
        <v>0.94846405416163693</v>
      </c>
    </row>
    <row r="153" spans="1:32" x14ac:dyDescent="0.25">
      <c r="A153" s="39">
        <v>165</v>
      </c>
      <c r="B153" s="62">
        <f t="shared" si="70"/>
        <v>125.76943708385477</v>
      </c>
      <c r="C153" s="62">
        <f t="shared" si="71"/>
        <v>118.05329730540925</v>
      </c>
      <c r="D153" s="110">
        <f t="shared" si="84"/>
        <v>121.91136719463201</v>
      </c>
      <c r="E153" s="111">
        <f t="shared" si="82"/>
        <v>3.1449028246986508</v>
      </c>
      <c r="F153" s="111">
        <f t="shared" si="83"/>
        <v>2.7473039465213929</v>
      </c>
      <c r="G153" s="110">
        <f t="shared" si="85"/>
        <v>2.9461033856100221</v>
      </c>
      <c r="H153" s="63">
        <f t="shared" si="100"/>
        <v>3.2709812807393028</v>
      </c>
      <c r="I153" s="63">
        <f t="shared" si="101"/>
        <v>3.077498107996393</v>
      </c>
      <c r="J153" s="110">
        <f t="shared" si="86"/>
        <v>3.1742396943678477</v>
      </c>
      <c r="K153" s="64">
        <f t="shared" si="98"/>
        <v>123.61950489586184</v>
      </c>
      <c r="L153" s="64">
        <f t="shared" si="99"/>
        <v>116.63608259756154</v>
      </c>
      <c r="M153" s="64">
        <f t="shared" si="87"/>
        <v>120.12779374671169</v>
      </c>
      <c r="N153" s="67">
        <f t="shared" si="102"/>
        <v>3.2853317545013025</v>
      </c>
      <c r="O153" s="67">
        <f t="shared" si="103"/>
        <v>2.9037182953876086</v>
      </c>
      <c r="P153" s="116">
        <f t="shared" si="88"/>
        <v>3.0945250249444554</v>
      </c>
      <c r="Q153" s="67">
        <f t="shared" si="104"/>
        <v>3.4983347844495745</v>
      </c>
      <c r="R153" s="67">
        <f t="shared" si="105"/>
        <v>3.2745912566122248</v>
      </c>
      <c r="S153" s="116">
        <f t="shared" si="89"/>
        <v>3.3864630205308996</v>
      </c>
      <c r="T153" s="65">
        <f t="shared" si="78"/>
        <v>121.46957270786892</v>
      </c>
      <c r="U153" s="65">
        <f t="shared" si="79"/>
        <v>115.21886788971382</v>
      </c>
      <c r="V153" s="113">
        <f t="shared" si="90"/>
        <v>118.34422029879137</v>
      </c>
      <c r="W153" s="112">
        <f t="shared" si="96"/>
        <v>3.4257606843039543</v>
      </c>
      <c r="X153" s="112">
        <f t="shared" si="97"/>
        <v>3.0601326442538244</v>
      </c>
      <c r="Y153" s="112">
        <f t="shared" si="91"/>
        <v>3.2429466642788896</v>
      </c>
      <c r="Z153" s="66">
        <f t="shared" si="106"/>
        <v>3.7256882881598457</v>
      </c>
      <c r="AA153" s="66">
        <f t="shared" si="107"/>
        <v>3.4716844052280567</v>
      </c>
      <c r="AB153" s="112">
        <f t="shared" si="92"/>
        <v>3.5986863466939512</v>
      </c>
      <c r="AC153" s="216"/>
      <c r="AD153" s="133">
        <f t="shared" si="93"/>
        <v>0.93864853053845732</v>
      </c>
      <c r="AE153" s="133">
        <f t="shared" si="94"/>
        <v>0.94350873428765802</v>
      </c>
      <c r="AF153" s="133">
        <f t="shared" si="95"/>
        <v>0.94854098290781119</v>
      </c>
    </row>
    <row r="154" spans="1:32" x14ac:dyDescent="0.25">
      <c r="A154" s="39">
        <v>166</v>
      </c>
      <c r="B154" s="62">
        <f t="shared" si="70"/>
        <v>126.72708640109492</v>
      </c>
      <c r="C154" s="62">
        <f t="shared" si="71"/>
        <v>118.94304572350987</v>
      </c>
      <c r="D154" s="110">
        <f t="shared" si="84"/>
        <v>122.83506606230239</v>
      </c>
      <c r="E154" s="111">
        <f t="shared" si="82"/>
        <v>3.1480265335287059</v>
      </c>
      <c r="F154" s="111">
        <f t="shared" si="83"/>
        <v>2.7537128109464892</v>
      </c>
      <c r="G154" s="110">
        <f t="shared" si="85"/>
        <v>2.9508696722375976</v>
      </c>
      <c r="H154" s="63">
        <f t="shared" si="100"/>
        <v>3.2872435419272175</v>
      </c>
      <c r="I154" s="63">
        <f t="shared" si="101"/>
        <v>3.0949342026647653</v>
      </c>
      <c r="J154" s="110">
        <f t="shared" si="86"/>
        <v>3.1910888722959916</v>
      </c>
      <c r="K154" s="64">
        <f t="shared" si="98"/>
        <v>124.55620231564342</v>
      </c>
      <c r="L154" s="64">
        <f t="shared" si="99"/>
        <v>117.52031146184062</v>
      </c>
      <c r="M154" s="64">
        <f t="shared" si="87"/>
        <v>121.03825688874201</v>
      </c>
      <c r="N154" s="67">
        <f t="shared" si="102"/>
        <v>3.2897042250752637</v>
      </c>
      <c r="O154" s="67">
        <f t="shared" si="103"/>
        <v>2.91110091596757</v>
      </c>
      <c r="P154" s="116">
        <f t="shared" si="88"/>
        <v>3.1004025705214167</v>
      </c>
      <c r="Q154" s="67">
        <f t="shared" si="104"/>
        <v>3.5171673319167258</v>
      </c>
      <c r="R154" s="67">
        <f t="shared" si="105"/>
        <v>3.2934876478717499</v>
      </c>
      <c r="S154" s="116">
        <f t="shared" si="89"/>
        <v>3.4053274898942378</v>
      </c>
      <c r="T154" s="65">
        <f t="shared" si="78"/>
        <v>122.3853182301919</v>
      </c>
      <c r="U154" s="65">
        <f t="shared" si="79"/>
        <v>116.09757720017137</v>
      </c>
      <c r="V154" s="113">
        <f t="shared" si="90"/>
        <v>119.24144771518164</v>
      </c>
      <c r="W154" s="112">
        <f t="shared" si="96"/>
        <v>3.4313819166218211</v>
      </c>
      <c r="X154" s="112">
        <f t="shared" si="97"/>
        <v>3.0684890209886508</v>
      </c>
      <c r="Y154" s="112">
        <f t="shared" si="91"/>
        <v>3.2499354688052362</v>
      </c>
      <c r="Z154" s="66">
        <f t="shared" si="106"/>
        <v>3.7470911219062337</v>
      </c>
      <c r="AA154" s="66">
        <f t="shared" si="107"/>
        <v>3.4920410930787349</v>
      </c>
      <c r="AB154" s="112">
        <f t="shared" si="92"/>
        <v>3.6195661074924841</v>
      </c>
      <c r="AC154" s="216"/>
      <c r="AD154" s="133">
        <f t="shared" si="93"/>
        <v>0.9385763462362865</v>
      </c>
      <c r="AE154" s="133">
        <f t="shared" si="94"/>
        <v>0.94351232035822008</v>
      </c>
      <c r="AF154" s="133">
        <f t="shared" si="95"/>
        <v>0.94862340417178104</v>
      </c>
    </row>
    <row r="155" spans="1:32" x14ac:dyDescent="0.25">
      <c r="A155" s="39">
        <v>167</v>
      </c>
      <c r="B155" s="62">
        <f t="shared" si="70"/>
        <v>127.68088500805452</v>
      </c>
      <c r="C155" s="62">
        <f t="shared" si="71"/>
        <v>119.82979701171948</v>
      </c>
      <c r="D155" s="110">
        <f t="shared" si="84"/>
        <v>123.75534100988699</v>
      </c>
      <c r="E155" s="111">
        <f t="shared" si="82"/>
        <v>3.1510327612449518</v>
      </c>
      <c r="F155" s="111">
        <f t="shared" si="83"/>
        <v>2.7600136641567126</v>
      </c>
      <c r="G155" s="110">
        <f t="shared" si="85"/>
        <v>2.9555232127008324</v>
      </c>
      <c r="H155" s="63">
        <f t="shared" si="100"/>
        <v>3.3036667680711322</v>
      </c>
      <c r="I155" s="63">
        <f t="shared" si="101"/>
        <v>3.1125003153131066</v>
      </c>
      <c r="J155" s="110">
        <f t="shared" si="86"/>
        <v>3.2080835416921194</v>
      </c>
      <c r="K155" s="64">
        <f t="shared" si="98"/>
        <v>125.4890779544279</v>
      </c>
      <c r="L155" s="64">
        <f t="shared" si="99"/>
        <v>118.40164921512203</v>
      </c>
      <c r="M155" s="64">
        <f t="shared" si="87"/>
        <v>121.94536358477497</v>
      </c>
      <c r="N155" s="67">
        <f t="shared" si="102"/>
        <v>3.2939347338607101</v>
      </c>
      <c r="O155" s="67">
        <f t="shared" si="103"/>
        <v>2.9183621194383584</v>
      </c>
      <c r="P155" s="116">
        <f t="shared" si="88"/>
        <v>3.1061484266495345</v>
      </c>
      <c r="Q155" s="67">
        <f t="shared" si="104"/>
        <v>3.5361618241178063</v>
      </c>
      <c r="R155" s="67">
        <f t="shared" si="105"/>
        <v>3.3125154316687109</v>
      </c>
      <c r="S155" s="116">
        <f t="shared" si="89"/>
        <v>3.4243386278932588</v>
      </c>
      <c r="T155" s="65">
        <f t="shared" si="78"/>
        <v>123.29727090080129</v>
      </c>
      <c r="U155" s="65">
        <f t="shared" si="79"/>
        <v>116.97350141852459</v>
      </c>
      <c r="V155" s="113">
        <f t="shared" si="90"/>
        <v>120.13538615966294</v>
      </c>
      <c r="W155" s="112">
        <f t="shared" si="96"/>
        <v>3.4368367064764684</v>
      </c>
      <c r="X155" s="112">
        <f t="shared" si="97"/>
        <v>3.0767105747200043</v>
      </c>
      <c r="Y155" s="112">
        <f t="shared" si="91"/>
        <v>3.2567736405982366</v>
      </c>
      <c r="Z155" s="66">
        <f t="shared" si="106"/>
        <v>3.7686568801644804</v>
      </c>
      <c r="AA155" s="66">
        <f t="shared" si="107"/>
        <v>3.5125305480243156</v>
      </c>
      <c r="AB155" s="112">
        <f t="shared" si="92"/>
        <v>3.6405937140943978</v>
      </c>
      <c r="AC155" s="216"/>
      <c r="AD155" s="133">
        <f t="shared" si="93"/>
        <v>0.93851007536609909</v>
      </c>
      <c r="AE155" s="133">
        <f t="shared" si="94"/>
        <v>0.94352154900779728</v>
      </c>
      <c r="AF155" s="133">
        <f t="shared" si="95"/>
        <v>0.9487111966382088</v>
      </c>
    </row>
    <row r="156" spans="1:32" x14ac:dyDescent="0.25">
      <c r="A156" s="39">
        <v>168</v>
      </c>
      <c r="B156" s="62">
        <f t="shared" si="70"/>
        <v>128.63079004008006</v>
      </c>
      <c r="C156" s="62">
        <f t="shared" si="71"/>
        <v>120.71351382606125</v>
      </c>
      <c r="D156" s="110">
        <f t="shared" si="84"/>
        <v>124.67215193307065</v>
      </c>
      <c r="E156" s="111">
        <f t="shared" si="82"/>
        <v>3.1539258328595143</v>
      </c>
      <c r="F156" s="111">
        <f t="shared" si="83"/>
        <v>2.7662083570654765</v>
      </c>
      <c r="G156" s="110">
        <f t="shared" si="85"/>
        <v>2.9600670949624952</v>
      </c>
      <c r="H156" s="63">
        <f t="shared" si="100"/>
        <v>3.3202538427806885</v>
      </c>
      <c r="I156" s="63">
        <f t="shared" si="101"/>
        <v>3.1301977196460564</v>
      </c>
      <c r="J156" s="110">
        <f t="shared" si="86"/>
        <v>3.2252257812133722</v>
      </c>
      <c r="K156" s="64">
        <f t="shared" si="98"/>
        <v>126.41809070702588</v>
      </c>
      <c r="L156" s="64">
        <f t="shared" si="99"/>
        <v>119.28005795506536</v>
      </c>
      <c r="M156" s="64">
        <f t="shared" si="87"/>
        <v>122.84907433104561</v>
      </c>
      <c r="N156" s="67">
        <f t="shared" si="102"/>
        <v>3.2980278326609391</v>
      </c>
      <c r="O156" s="67">
        <f t="shared" si="103"/>
        <v>2.9255038877254691</v>
      </c>
      <c r="P156" s="116">
        <f t="shared" si="88"/>
        <v>3.1117658601932039</v>
      </c>
      <c r="Q156" s="67">
        <f t="shared" si="104"/>
        <v>3.555321410534094</v>
      </c>
      <c r="R156" s="67">
        <f t="shared" si="105"/>
        <v>3.3316760370722625</v>
      </c>
      <c r="S156" s="116">
        <f t="shared" si="89"/>
        <v>3.4434987238031782</v>
      </c>
      <c r="T156" s="65">
        <f t="shared" si="78"/>
        <v>124.20539137397171</v>
      </c>
      <c r="U156" s="65">
        <f t="shared" si="79"/>
        <v>117.84660208406949</v>
      </c>
      <c r="V156" s="113">
        <f t="shared" si="90"/>
        <v>121.02599672902059</v>
      </c>
      <c r="W156" s="112">
        <f t="shared" si="96"/>
        <v>3.4421298324623639</v>
      </c>
      <c r="X156" s="112">
        <f t="shared" si="97"/>
        <v>3.0847994183854617</v>
      </c>
      <c r="Y156" s="112">
        <f t="shared" si="91"/>
        <v>3.2634646254239126</v>
      </c>
      <c r="Z156" s="66">
        <f t="shared" si="106"/>
        <v>3.7903889782875</v>
      </c>
      <c r="AA156" s="66">
        <f t="shared" si="107"/>
        <v>3.533154354498468</v>
      </c>
      <c r="AB156" s="112">
        <f t="shared" si="92"/>
        <v>3.6617716663929842</v>
      </c>
      <c r="AC156" s="216"/>
      <c r="AD156" s="133">
        <f t="shared" si="93"/>
        <v>0.93844960283963219</v>
      </c>
      <c r="AE156" s="133">
        <f t="shared" si="94"/>
        <v>0.94353630313478687</v>
      </c>
      <c r="AF156" s="133">
        <f t="shared" si="95"/>
        <v>0.94880424094670368</v>
      </c>
    </row>
    <row r="157" spans="1:32" x14ac:dyDescent="0.25">
      <c r="A157" s="39">
        <v>169</v>
      </c>
      <c r="B157" s="62">
        <f t="shared" si="70"/>
        <v>129.57676030493127</v>
      </c>
      <c r="C157" s="62">
        <f t="shared" si="71"/>
        <v>121.59416005968133</v>
      </c>
      <c r="D157" s="110">
        <f t="shared" si="84"/>
        <v>125.58546018230629</v>
      </c>
      <c r="E157" s="111">
        <f t="shared" si="82"/>
        <v>3.1567099307754707</v>
      </c>
      <c r="F157" s="111">
        <f t="shared" si="83"/>
        <v>2.77229871567644</v>
      </c>
      <c r="G157" s="110">
        <f t="shared" si="85"/>
        <v>2.9645043232259551</v>
      </c>
      <c r="H157" s="63">
        <f t="shared" si="100"/>
        <v>3.3370075657420131</v>
      </c>
      <c r="I157" s="63">
        <f t="shared" si="101"/>
        <v>3.1480276754041361</v>
      </c>
      <c r="J157" s="110">
        <f t="shared" si="86"/>
        <v>3.2425176205730746</v>
      </c>
      <c r="K157" s="64">
        <f t="shared" si="98"/>
        <v>127.34320110667701</v>
      </c>
      <c r="L157" s="64">
        <f t="shared" si="99"/>
        <v>120.15550099511455</v>
      </c>
      <c r="M157" s="64">
        <f t="shared" si="87"/>
        <v>123.74935105089578</v>
      </c>
      <c r="N157" s="67">
        <f t="shared" si="102"/>
        <v>3.301987945124591</v>
      </c>
      <c r="O157" s="67">
        <f t="shared" si="103"/>
        <v>2.9325281796513574</v>
      </c>
      <c r="P157" s="116">
        <f t="shared" si="88"/>
        <v>3.1172580623879744</v>
      </c>
      <c r="Q157" s="67">
        <f t="shared" si="104"/>
        <v>3.5746491641211309</v>
      </c>
      <c r="R157" s="67">
        <f t="shared" si="105"/>
        <v>3.3509708778457412</v>
      </c>
      <c r="S157" s="116">
        <f t="shared" si="89"/>
        <v>3.462810020983436</v>
      </c>
      <c r="T157" s="65">
        <f t="shared" si="78"/>
        <v>125.10964190842277</v>
      </c>
      <c r="U157" s="65">
        <f t="shared" si="79"/>
        <v>118.71684193054777</v>
      </c>
      <c r="V157" s="113">
        <f t="shared" si="90"/>
        <v>121.91324191948527</v>
      </c>
      <c r="W157" s="112">
        <f t="shared" si="96"/>
        <v>3.4472659594737114</v>
      </c>
      <c r="X157" s="112">
        <f t="shared" si="97"/>
        <v>3.0927576436262747</v>
      </c>
      <c r="Y157" s="112">
        <f t="shared" si="91"/>
        <v>3.2700118015499928</v>
      </c>
      <c r="Z157" s="66">
        <f t="shared" si="106"/>
        <v>3.8122907625002487</v>
      </c>
      <c r="AA157" s="66">
        <f t="shared" si="107"/>
        <v>3.5539140802873468</v>
      </c>
      <c r="AB157" s="112">
        <f t="shared" si="92"/>
        <v>3.683102421393798</v>
      </c>
      <c r="AC157" s="216"/>
      <c r="AD157" s="133">
        <f t="shared" si="93"/>
        <v>0.93839481534756242</v>
      </c>
      <c r="AE157" s="133">
        <f t="shared" si="94"/>
        <v>0.94355646749023347</v>
      </c>
      <c r="AF157" s="133">
        <f t="shared" si="95"/>
        <v>0.94890241966678812</v>
      </c>
    </row>
    <row r="158" spans="1:32" x14ac:dyDescent="0.25">
      <c r="A158" s="39">
        <v>170</v>
      </c>
      <c r="B158" s="62">
        <f t="shared" si="70"/>
        <v>130.51875625611802</v>
      </c>
      <c r="C158" s="62">
        <f t="shared" si="71"/>
        <v>122.47170082489167</v>
      </c>
      <c r="D158" s="110">
        <f t="shared" si="84"/>
        <v>126.49522854050485</v>
      </c>
      <c r="E158" s="111">
        <f t="shared" si="82"/>
        <v>3.159389098042189</v>
      </c>
      <c r="F158" s="111">
        <f t="shared" si="83"/>
        <v>2.7782865409910524</v>
      </c>
      <c r="G158" s="110">
        <f t="shared" si="85"/>
        <v>2.9688378195166205</v>
      </c>
      <c r="H158" s="63">
        <f t="shared" si="100"/>
        <v>3.3539306555000543</v>
      </c>
      <c r="I158" s="63">
        <f t="shared" si="101"/>
        <v>3.1659914287003117</v>
      </c>
      <c r="J158" s="110">
        <f t="shared" si="86"/>
        <v>3.259961042100183</v>
      </c>
      <c r="K158" s="64">
        <f t="shared" si="98"/>
        <v>128.26437129842338</v>
      </c>
      <c r="L158" s="64">
        <f t="shared" si="99"/>
        <v>121.02794284737564</v>
      </c>
      <c r="M158" s="64">
        <f t="shared" si="87"/>
        <v>124.64615707289951</v>
      </c>
      <c r="N158" s="67">
        <f t="shared" si="102"/>
        <v>3.3058193688341166</v>
      </c>
      <c r="O158" s="67">
        <f t="shared" si="103"/>
        <v>2.9394369306618335</v>
      </c>
      <c r="P158" s="116">
        <f t="shared" si="88"/>
        <v>3.1226281497479751</v>
      </c>
      <c r="Q158" s="67">
        <f t="shared" si="104"/>
        <v>3.5941480834560844</v>
      </c>
      <c r="R158" s="67">
        <f t="shared" si="105"/>
        <v>3.3704013527662062</v>
      </c>
      <c r="S158" s="116">
        <f t="shared" si="89"/>
        <v>3.4822747181111451</v>
      </c>
      <c r="T158" s="65">
        <f t="shared" si="78"/>
        <v>126.00998634072877</v>
      </c>
      <c r="U158" s="65">
        <f t="shared" si="79"/>
        <v>119.5841848698596</v>
      </c>
      <c r="V158" s="113">
        <f t="shared" si="90"/>
        <v>122.79708560529419</v>
      </c>
      <c r="W158" s="112">
        <f t="shared" si="96"/>
        <v>3.4522496396260438</v>
      </c>
      <c r="X158" s="112">
        <f t="shared" si="97"/>
        <v>3.1005873203326142</v>
      </c>
      <c r="Y158" s="112">
        <f t="shared" si="91"/>
        <v>3.2764184799793288</v>
      </c>
      <c r="Z158" s="66">
        <f t="shared" si="106"/>
        <v>3.8343655114121149</v>
      </c>
      <c r="AA158" s="66">
        <f t="shared" si="107"/>
        <v>3.5748112768321008</v>
      </c>
      <c r="AB158" s="112">
        <f t="shared" si="92"/>
        <v>3.7045883941221076</v>
      </c>
      <c r="AC158" s="216"/>
      <c r="AD158" s="133">
        <f t="shared" si="93"/>
        <v>0.93834560133690248</v>
      </c>
      <c r="AE158" s="133">
        <f t="shared" si="94"/>
        <v>0.94358192865412893</v>
      </c>
      <c r="AF158" s="133">
        <f t="shared" si="95"/>
        <v>0.94900561727311106</v>
      </c>
    </row>
    <row r="159" spans="1:32" x14ac:dyDescent="0.25">
      <c r="A159" s="39">
        <v>171</v>
      </c>
      <c r="B159" s="62">
        <f t="shared" si="70"/>
        <v>131.4567399661471</v>
      </c>
      <c r="C159" s="62">
        <f t="shared" si="71"/>
        <v>123.34610243516762</v>
      </c>
      <c r="D159" s="110">
        <f t="shared" si="84"/>
        <v>127.40142120065735</v>
      </c>
      <c r="E159" s="111">
        <f t="shared" si="82"/>
        <v>3.1619672416539202</v>
      </c>
      <c r="F159" s="111">
        <f t="shared" si="83"/>
        <v>2.7841736089440716</v>
      </c>
      <c r="G159" s="110">
        <f t="shared" si="85"/>
        <v>2.9730704252989959</v>
      </c>
      <c r="H159" s="63">
        <f t="shared" si="100"/>
        <v>3.3710257522019385</v>
      </c>
      <c r="I159" s="63">
        <f t="shared" si="101"/>
        <v>3.1840902123515211</v>
      </c>
      <c r="J159" s="110">
        <f t="shared" si="86"/>
        <v>3.27755798227673</v>
      </c>
      <c r="K159" s="64">
        <f t="shared" si="98"/>
        <v>129.18156501241174</v>
      </c>
      <c r="L159" s="64">
        <f t="shared" si="99"/>
        <v>121.89734920543651</v>
      </c>
      <c r="M159" s="64">
        <f t="shared" si="87"/>
        <v>125.53945710892413</v>
      </c>
      <c r="N159" s="67">
        <f t="shared" si="102"/>
        <v>3.3095262774815133</v>
      </c>
      <c r="O159" s="67">
        <f t="shared" si="103"/>
        <v>2.9462320525878098</v>
      </c>
      <c r="P159" s="116">
        <f t="shared" si="88"/>
        <v>3.1278791650346616</v>
      </c>
      <c r="Q159" s="67">
        <f t="shared" si="104"/>
        <v>3.6138210948712519</v>
      </c>
      <c r="R159" s="67">
        <f t="shared" si="105"/>
        <v>3.3899688459397046</v>
      </c>
      <c r="S159" s="116">
        <f t="shared" si="89"/>
        <v>3.5018949704054783</v>
      </c>
      <c r="T159" s="65">
        <f t="shared" si="78"/>
        <v>126.90639005867635</v>
      </c>
      <c r="U159" s="65">
        <f t="shared" si="79"/>
        <v>120.4485959757054</v>
      </c>
      <c r="V159" s="113">
        <f t="shared" si="90"/>
        <v>123.67749301719087</v>
      </c>
      <c r="W159" s="112">
        <f t="shared" si="96"/>
        <v>3.4570853133091064</v>
      </c>
      <c r="X159" s="112">
        <f t="shared" si="97"/>
        <v>3.1082904962315481</v>
      </c>
      <c r="Y159" s="112">
        <f t="shared" si="91"/>
        <v>3.2826879047703272</v>
      </c>
      <c r="Z159" s="66">
        <f t="shared" si="106"/>
        <v>3.8566164375405654</v>
      </c>
      <c r="AA159" s="66">
        <f t="shared" si="107"/>
        <v>3.5958474795278885</v>
      </c>
      <c r="AB159" s="112">
        <f t="shared" si="92"/>
        <v>3.726231958534227</v>
      </c>
      <c r="AC159" s="216"/>
      <c r="AD159" s="133">
        <f t="shared" si="93"/>
        <v>0.93830185098863594</v>
      </c>
      <c r="AE159" s="133">
        <f t="shared" si="94"/>
        <v>0.94361257501195805</v>
      </c>
      <c r="AF159" s="133">
        <f t="shared" si="95"/>
        <v>0.94911372012090855</v>
      </c>
    </row>
    <row r="160" spans="1:32" x14ac:dyDescent="0.25">
      <c r="A160" s="39">
        <v>172</v>
      </c>
      <c r="B160" s="62">
        <f t="shared" si="70"/>
        <v>132.39067509970164</v>
      </c>
      <c r="C160" s="62">
        <f t="shared" si="71"/>
        <v>124.21733238711354</v>
      </c>
      <c r="D160" s="110">
        <f t="shared" si="84"/>
        <v>128.30400374340758</v>
      </c>
      <c r="E160" s="111">
        <f t="shared" si="82"/>
        <v>3.1644481358796082</v>
      </c>
      <c r="F160" s="111">
        <f t="shared" si="83"/>
        <v>2.7899616703655621</v>
      </c>
      <c r="G160" s="110">
        <f t="shared" si="85"/>
        <v>2.9772049031225851</v>
      </c>
      <c r="H160" s="63">
        <f t="shared" si="100"/>
        <v>3.3882954202994497</v>
      </c>
      <c r="I160" s="63">
        <f t="shared" si="101"/>
        <v>3.2023252462040483</v>
      </c>
      <c r="J160" s="110">
        <f t="shared" si="86"/>
        <v>3.295310333251749</v>
      </c>
      <c r="K160" s="64">
        <f t="shared" si="98"/>
        <v>130.09474753714707</v>
      </c>
      <c r="L160" s="64">
        <f t="shared" si="99"/>
        <v>122.76368692714101</v>
      </c>
      <c r="M160" s="64">
        <f t="shared" si="87"/>
        <v>126.42921723214404</v>
      </c>
      <c r="N160" s="67">
        <f t="shared" si="102"/>
        <v>3.3131127231194251</v>
      </c>
      <c r="O160" s="67">
        <f t="shared" si="103"/>
        <v>2.9529154334407459</v>
      </c>
      <c r="P160" s="116">
        <f t="shared" si="88"/>
        <v>3.1330140782800857</v>
      </c>
      <c r="Q160" s="67">
        <f t="shared" si="104"/>
        <v>3.6336710545713338</v>
      </c>
      <c r="R160" s="67">
        <f t="shared" si="105"/>
        <v>3.4096747271145551</v>
      </c>
      <c r="S160" s="116">
        <f t="shared" si="89"/>
        <v>3.5216728908429444</v>
      </c>
      <c r="T160" s="65">
        <f t="shared" si="78"/>
        <v>127.79881997459252</v>
      </c>
      <c r="U160" s="65">
        <f t="shared" si="79"/>
        <v>121.31004146716846</v>
      </c>
      <c r="V160" s="113">
        <f t="shared" si="90"/>
        <v>124.55443072088049</v>
      </c>
      <c r="W160" s="112">
        <f t="shared" si="96"/>
        <v>3.461777310359242</v>
      </c>
      <c r="X160" s="112">
        <f t="shared" si="97"/>
        <v>3.1158691965159298</v>
      </c>
      <c r="Y160" s="112">
        <f t="shared" si="91"/>
        <v>3.2888232534375859</v>
      </c>
      <c r="Z160" s="66">
        <f t="shared" si="106"/>
        <v>3.8790466888432182</v>
      </c>
      <c r="AA160" s="66">
        <f t="shared" si="107"/>
        <v>3.6170242080250623</v>
      </c>
      <c r="AB160" s="112">
        <f t="shared" si="92"/>
        <v>3.7480354484341403</v>
      </c>
      <c r="AC160" s="216"/>
      <c r="AD160" s="133">
        <f t="shared" si="93"/>
        <v>0.93826345619559037</v>
      </c>
      <c r="AE160" s="133">
        <f t="shared" si="94"/>
        <v>0.94364829673148209</v>
      </c>
      <c r="AF160" s="133">
        <f t="shared" si="95"/>
        <v>0.94922661642170025</v>
      </c>
    </row>
    <row r="161" spans="1:32" x14ac:dyDescent="0.25">
      <c r="A161" s="39">
        <v>173</v>
      </c>
      <c r="B161" s="62">
        <f t="shared" si="70"/>
        <v>133.32052688677638</v>
      </c>
      <c r="C161" s="62">
        <f t="shared" si="71"/>
        <v>125.08535934240837</v>
      </c>
      <c r="D161" s="110">
        <f t="shared" si="84"/>
        <v>129.20294311459236</v>
      </c>
      <c r="E161" s="111">
        <f t="shared" si="82"/>
        <v>3.1668354256128031</v>
      </c>
      <c r="F161" s="111">
        <f t="shared" si="83"/>
        <v>2.7956524509678795</v>
      </c>
      <c r="G161" s="110">
        <f t="shared" si="85"/>
        <v>2.9812439382903415</v>
      </c>
      <c r="H161" s="63">
        <f t="shared" si="100"/>
        <v>3.4057421512039978</v>
      </c>
      <c r="I161" s="63">
        <f t="shared" si="101"/>
        <v>3.2206977374548731</v>
      </c>
      <c r="J161" s="110">
        <f t="shared" si="86"/>
        <v>3.3132199443294352</v>
      </c>
      <c r="K161" s="64">
        <f t="shared" si="98"/>
        <v>131.00388569272013</v>
      </c>
      <c r="L161" s="64">
        <f t="shared" si="99"/>
        <v>123.62692401732946</v>
      </c>
      <c r="M161" s="64">
        <f t="shared" si="87"/>
        <v>127.31540485502479</v>
      </c>
      <c r="N161" s="67">
        <f t="shared" si="102"/>
        <v>3.3165826384764401</v>
      </c>
      <c r="O161" s="67">
        <f t="shared" si="103"/>
        <v>2.9594889372401134</v>
      </c>
      <c r="P161" s="116">
        <f t="shared" si="88"/>
        <v>3.1380357878582767</v>
      </c>
      <c r="Q161" s="67">
        <f t="shared" si="104"/>
        <v>3.6537007507302226</v>
      </c>
      <c r="R161" s="67">
        <f t="shared" si="105"/>
        <v>3.4295203519911182</v>
      </c>
      <c r="S161" s="116">
        <f t="shared" si="89"/>
        <v>3.5416105513606704</v>
      </c>
      <c r="T161" s="65">
        <f t="shared" si="78"/>
        <v>128.68724449866386</v>
      </c>
      <c r="U161" s="65">
        <f t="shared" si="79"/>
        <v>122.16848869225055</v>
      </c>
      <c r="V161" s="113">
        <f t="shared" si="90"/>
        <v>125.4278665954572</v>
      </c>
      <c r="W161" s="112">
        <f t="shared" si="96"/>
        <v>3.4663298513400767</v>
      </c>
      <c r="X161" s="112">
        <f t="shared" si="97"/>
        <v>3.1233254235123473</v>
      </c>
      <c r="Y161" s="112">
        <f t="shared" si="91"/>
        <v>3.294827637426212</v>
      </c>
      <c r="Z161" s="66">
        <f t="shared" si="106"/>
        <v>3.9016593502564469</v>
      </c>
      <c r="AA161" s="66">
        <f t="shared" si="107"/>
        <v>3.6383429665273632</v>
      </c>
      <c r="AB161" s="112">
        <f t="shared" si="92"/>
        <v>3.7700011583919051</v>
      </c>
      <c r="AC161" s="216"/>
      <c r="AD161" s="133">
        <f t="shared" si="93"/>
        <v>0.93823031054053818</v>
      </c>
      <c r="AE161" s="133">
        <f t="shared" si="94"/>
        <v>0.94368898573975191</v>
      </c>
      <c r="AF161" s="133">
        <f t="shared" si="95"/>
        <v>0.94934419621922206</v>
      </c>
    </row>
    <row r="162" spans="1:32" x14ac:dyDescent="0.25">
      <c r="A162" s="39">
        <v>174</v>
      </c>
      <c r="B162" s="62">
        <f t="shared" si="70"/>
        <v>134.2462620957902</v>
      </c>
      <c r="C162" s="62">
        <f t="shared" si="71"/>
        <v>125.95015310974313</v>
      </c>
      <c r="D162" s="110">
        <f t="shared" si="84"/>
        <v>130.09820760276665</v>
      </c>
      <c r="E162" s="111">
        <f t="shared" si="82"/>
        <v>3.1691326297314601</v>
      </c>
      <c r="F162" s="111">
        <f t="shared" si="83"/>
        <v>2.8012476513562321</v>
      </c>
      <c r="G162" s="110">
        <f t="shared" si="85"/>
        <v>2.9851901405438461</v>
      </c>
      <c r="H162" s="63">
        <f t="shared" si="100"/>
        <v>3.4233683658932108</v>
      </c>
      <c r="I162" s="63">
        <f t="shared" si="101"/>
        <v>3.2392088809676571</v>
      </c>
      <c r="J162" s="110">
        <f t="shared" si="86"/>
        <v>3.3312886234304342</v>
      </c>
      <c r="K162" s="64">
        <f t="shared" si="98"/>
        <v>131.90894780402891</v>
      </c>
      <c r="L162" s="64">
        <f t="shared" si="99"/>
        <v>124.48702961055758</v>
      </c>
      <c r="M162" s="64">
        <f t="shared" si="87"/>
        <v>128.19798870729323</v>
      </c>
      <c r="N162" s="67">
        <f t="shared" si="102"/>
        <v>3.3199398393261683</v>
      </c>
      <c r="O162" s="67">
        <f t="shared" si="103"/>
        <v>2.9659544038713017</v>
      </c>
      <c r="P162" s="116">
        <f t="shared" si="88"/>
        <v>3.142947121598735</v>
      </c>
      <c r="Q162" s="67">
        <f t="shared" si="104"/>
        <v>3.6739129055637827</v>
      </c>
      <c r="R162" s="67">
        <f t="shared" si="105"/>
        <v>3.4495070625285909</v>
      </c>
      <c r="S162" s="116">
        <f t="shared" si="89"/>
        <v>3.5617099840461868</v>
      </c>
      <c r="T162" s="65">
        <f t="shared" si="78"/>
        <v>129.57163351226765</v>
      </c>
      <c r="U162" s="65">
        <f t="shared" si="79"/>
        <v>123.02390611137204</v>
      </c>
      <c r="V162" s="113">
        <f t="shared" si="90"/>
        <v>126.29776981181985</v>
      </c>
      <c r="W162" s="112">
        <f t="shared" si="96"/>
        <v>3.4707470489208769</v>
      </c>
      <c r="X162" s="112">
        <f t="shared" si="97"/>
        <v>3.1306611563863709</v>
      </c>
      <c r="Y162" s="112">
        <f t="shared" si="91"/>
        <v>3.3007041026536239</v>
      </c>
      <c r="Z162" s="66">
        <f t="shared" si="106"/>
        <v>3.9244574452343546</v>
      </c>
      <c r="AA162" s="66">
        <f t="shared" si="107"/>
        <v>3.659805244089525</v>
      </c>
      <c r="AB162" s="112">
        <f t="shared" si="92"/>
        <v>3.7921313446619398</v>
      </c>
      <c r="AC162" s="216"/>
      <c r="AD162" s="133">
        <f t="shared" si="93"/>
        <v>0.93820230927452219</v>
      </c>
      <c r="AE162" s="133">
        <f t="shared" si="94"/>
        <v>0.94373453570035493</v>
      </c>
      <c r="AF162" s="133">
        <f t="shared" si="95"/>
        <v>0.94946635136558899</v>
      </c>
    </row>
    <row r="163" spans="1:32" x14ac:dyDescent="0.25">
      <c r="A163" s="39">
        <v>175</v>
      </c>
      <c r="B163" s="62">
        <f t="shared" si="70"/>
        <v>135.16784900669634</v>
      </c>
      <c r="C163" s="62">
        <f t="shared" si="71"/>
        <v>126.81168462676185</v>
      </c>
      <c r="D163" s="110">
        <f t="shared" si="84"/>
        <v>130.98976681672909</v>
      </c>
      <c r="E163" s="111">
        <f t="shared" si="82"/>
        <v>3.1713431444582452</v>
      </c>
      <c r="F163" s="111">
        <f t="shared" si="83"/>
        <v>2.8067489470614548</v>
      </c>
      <c r="G163" s="110">
        <f t="shared" si="85"/>
        <v>2.9890460457598502</v>
      </c>
      <c r="H163" s="63">
        <f t="shared" si="100"/>
        <v>3.441176417468915</v>
      </c>
      <c r="I163" s="63">
        <f t="shared" si="101"/>
        <v>3.2578598595836068</v>
      </c>
      <c r="J163" s="110">
        <f t="shared" si="86"/>
        <v>3.3495181385262609</v>
      </c>
      <c r="K163" s="64">
        <f t="shared" si="98"/>
        <v>132.80990367401503</v>
      </c>
      <c r="L163" s="64">
        <f t="shared" si="99"/>
        <v>125.34397395380481</v>
      </c>
      <c r="M163" s="64">
        <f t="shared" si="87"/>
        <v>129.07693881390992</v>
      </c>
      <c r="N163" s="67">
        <f t="shared" si="102"/>
        <v>3.3231880269003886</v>
      </c>
      <c r="O163" s="67">
        <f t="shared" si="103"/>
        <v>2.9723136489724222</v>
      </c>
      <c r="P163" s="116">
        <f t="shared" si="88"/>
        <v>3.1477508379364054</v>
      </c>
      <c r="Q163" s="67">
        <f t="shared" si="104"/>
        <v>3.6943101773793563</v>
      </c>
      <c r="R163" s="67">
        <f t="shared" si="105"/>
        <v>3.469636187248061</v>
      </c>
      <c r="S163" s="116">
        <f t="shared" si="89"/>
        <v>3.5819731823137086</v>
      </c>
      <c r="T163" s="65">
        <f t="shared" si="78"/>
        <v>130.45195834133372</v>
      </c>
      <c r="U163" s="65">
        <f t="shared" si="79"/>
        <v>123.87626328084778</v>
      </c>
      <c r="V163" s="113">
        <f t="shared" si="90"/>
        <v>127.16411081109075</v>
      </c>
      <c r="W163" s="112">
        <f t="shared" si="96"/>
        <v>3.4750329093425321</v>
      </c>
      <c r="X163" s="112">
        <f t="shared" si="97"/>
        <v>3.1378783508833892</v>
      </c>
      <c r="Y163" s="112">
        <f t="shared" si="91"/>
        <v>3.3064556301129606</v>
      </c>
      <c r="Z163" s="66">
        <f t="shared" si="106"/>
        <v>3.947443937289798</v>
      </c>
      <c r="AA163" s="66">
        <f t="shared" si="107"/>
        <v>3.6814125149125152</v>
      </c>
      <c r="AB163" s="112">
        <f t="shared" si="92"/>
        <v>3.8144282261011568</v>
      </c>
      <c r="AC163" s="216"/>
      <c r="AD163" s="133">
        <f t="shared" si="93"/>
        <v>0.93817934929540436</v>
      </c>
      <c r="AE163" s="133">
        <f t="shared" si="94"/>
        <v>0.94378484199088408</v>
      </c>
      <c r="AF163" s="133">
        <f t="shared" si="95"/>
        <v>0.94959297549768995</v>
      </c>
    </row>
    <row r="164" spans="1:32" x14ac:dyDescent="0.25">
      <c r="A164" s="39">
        <v>176</v>
      </c>
      <c r="B164" s="62">
        <f t="shared" si="70"/>
        <v>136.08525738411075</v>
      </c>
      <c r="C164" s="62">
        <f t="shared" si="71"/>
        <v>127.66992594201665</v>
      </c>
      <c r="D164" s="110">
        <f t="shared" si="84"/>
        <v>131.8775916630637</v>
      </c>
      <c r="E164" s="111">
        <f t="shared" si="82"/>
        <v>3.1734702467127973</v>
      </c>
      <c r="F164" s="111">
        <f t="shared" si="83"/>
        <v>2.8121579885937016</v>
      </c>
      <c r="G164" s="110">
        <f t="shared" si="85"/>
        <v>2.9928141176532495</v>
      </c>
      <c r="H164" s="63">
        <f t="shared" si="100"/>
        <v>3.45916859366034</v>
      </c>
      <c r="I164" s="63">
        <f t="shared" si="101"/>
        <v>3.2766518444277017</v>
      </c>
      <c r="J164" s="110">
        <f t="shared" si="86"/>
        <v>3.3679102190440209</v>
      </c>
      <c r="K164" s="64">
        <f t="shared" si="98"/>
        <v>133.70672455693381</v>
      </c>
      <c r="L164" s="64">
        <f t="shared" si="99"/>
        <v>126.19772838918277</v>
      </c>
      <c r="M164" s="64">
        <f t="shared" si="87"/>
        <v>129.95222647305829</v>
      </c>
      <c r="N164" s="67">
        <f t="shared" si="102"/>
        <v>3.3263307903372175</v>
      </c>
      <c r="O164" s="67">
        <f t="shared" si="103"/>
        <v>2.9785684638485357</v>
      </c>
      <c r="P164" s="116">
        <f t="shared" si="88"/>
        <v>3.1524496270928766</v>
      </c>
      <c r="Q164" s="67">
        <f t="shared" si="104"/>
        <v>3.7148951625932543</v>
      </c>
      <c r="R164" s="67">
        <f t="shared" si="105"/>
        <v>3.4899090415334815</v>
      </c>
      <c r="S164" s="116">
        <f t="shared" si="89"/>
        <v>3.6024021020633681</v>
      </c>
      <c r="T164" s="65">
        <f t="shared" si="78"/>
        <v>131.32819172975684</v>
      </c>
      <c r="U164" s="65">
        <f t="shared" si="79"/>
        <v>124.72553083634888</v>
      </c>
      <c r="V164" s="113">
        <f t="shared" si="90"/>
        <v>128.02686128305285</v>
      </c>
      <c r="W164" s="112">
        <f t="shared" si="96"/>
        <v>3.479191333961638</v>
      </c>
      <c r="X164" s="112">
        <f t="shared" si="97"/>
        <v>3.1449789391033702</v>
      </c>
      <c r="Y164" s="112">
        <f t="shared" si="91"/>
        <v>3.3120851365325041</v>
      </c>
      <c r="Z164" s="66">
        <f t="shared" si="106"/>
        <v>3.9706217315261685</v>
      </c>
      <c r="AA164" s="66">
        <f t="shared" si="107"/>
        <v>3.7031662386392612</v>
      </c>
      <c r="AB164" s="112">
        <f t="shared" si="92"/>
        <v>3.8368939850827148</v>
      </c>
      <c r="AC164" s="216"/>
      <c r="AD164" s="133">
        <f t="shared" si="93"/>
        <v>0.93816132912662831</v>
      </c>
      <c r="AE164" s="133">
        <f t="shared" si="94"/>
        <v>0.94383980168062809</v>
      </c>
      <c r="AF164" s="133">
        <f t="shared" si="95"/>
        <v>0.94972396401379899</v>
      </c>
    </row>
    <row r="165" spans="1:32" x14ac:dyDescent="0.25">
      <c r="A165" s="39">
        <v>177</v>
      </c>
      <c r="B165" s="62">
        <f t="shared" si="70"/>
        <v>136.99845845047739</v>
      </c>
      <c r="C165" s="62">
        <f t="shared" si="71"/>
        <v>128.52485019694808</v>
      </c>
      <c r="D165" s="110">
        <f t="shared" si="84"/>
        <v>132.76165432371272</v>
      </c>
      <c r="E165" s="111">
        <f t="shared" si="82"/>
        <v>3.1755170974481466</v>
      </c>
      <c r="F165" s="111">
        <f t="shared" si="83"/>
        <v>2.8174764015157647</v>
      </c>
      <c r="G165" s="110">
        <f t="shared" si="85"/>
        <v>2.9964967494819557</v>
      </c>
      <c r="H165" s="63">
        <f t="shared" si="100"/>
        <v>3.4773471192741847</v>
      </c>
      <c r="I165" s="63">
        <f t="shared" si="101"/>
        <v>3.2955859952081177</v>
      </c>
      <c r="J165" s="110">
        <f t="shared" si="86"/>
        <v>3.3864665572411514</v>
      </c>
      <c r="K165" s="64">
        <f t="shared" si="98"/>
        <v>134.59938313167686</v>
      </c>
      <c r="L165" s="64">
        <f t="shared" si="99"/>
        <v>127.04826533665488</v>
      </c>
      <c r="M165" s="64">
        <f t="shared" si="87"/>
        <v>130.82382423416587</v>
      </c>
      <c r="N165" s="67">
        <f t="shared" si="102"/>
        <v>3.3293716091559449</v>
      </c>
      <c r="O165" s="67">
        <f t="shared" si="103"/>
        <v>2.9847206154118409</v>
      </c>
      <c r="P165" s="116">
        <f t="shared" si="88"/>
        <v>3.1570461122838926</v>
      </c>
      <c r="Q165" s="67">
        <f t="shared" si="104"/>
        <v>3.7356703977210728</v>
      </c>
      <c r="R165" s="67">
        <f t="shared" si="105"/>
        <v>3.5103269279265374</v>
      </c>
      <c r="S165" s="116">
        <f t="shared" si="89"/>
        <v>3.6229986628238051</v>
      </c>
      <c r="T165" s="65">
        <f t="shared" si="78"/>
        <v>132.20030781287636</v>
      </c>
      <c r="U165" s="65">
        <f t="shared" si="79"/>
        <v>125.57168047636166</v>
      </c>
      <c r="V165" s="113">
        <f t="shared" si="90"/>
        <v>128.88599414461902</v>
      </c>
      <c r="W165" s="112">
        <f t="shared" si="96"/>
        <v>3.4832261208637432</v>
      </c>
      <c r="X165" s="112">
        <f t="shared" si="97"/>
        <v>3.1519648293079174</v>
      </c>
      <c r="Y165" s="112">
        <f t="shared" si="91"/>
        <v>3.3175954750858301</v>
      </c>
      <c r="Z165" s="66">
        <f t="shared" si="106"/>
        <v>3.9939936761679613</v>
      </c>
      <c r="AA165" s="66">
        <f t="shared" si="107"/>
        <v>3.7250678606449572</v>
      </c>
      <c r="AB165" s="112">
        <f t="shared" si="92"/>
        <v>3.8595307684064593</v>
      </c>
      <c r="AC165" s="216"/>
      <c r="AD165" s="133">
        <f t="shared" si="93"/>
        <v>0.93814814889619824</v>
      </c>
      <c r="AE165" s="133">
        <f t="shared" si="94"/>
        <v>0.94389931350848155</v>
      </c>
      <c r="AF165" s="133">
        <f t="shared" si="95"/>
        <v>0.94985921405041485</v>
      </c>
    </row>
    <row r="166" spans="1:32" x14ac:dyDescent="0.25">
      <c r="A166" s="39">
        <v>178</v>
      </c>
      <c r="B166" s="62">
        <f t="shared" si="70"/>
        <v>137.90742485928885</v>
      </c>
      <c r="C166" s="62">
        <f t="shared" si="71"/>
        <v>129.37643160790003</v>
      </c>
      <c r="D166" s="110">
        <f t="shared" si="84"/>
        <v>133.64192823359446</v>
      </c>
      <c r="E166" s="111">
        <f t="shared" si="82"/>
        <v>3.1774867449642108</v>
      </c>
      <c r="F166" s="111">
        <f t="shared" si="83"/>
        <v>2.8227057865348399</v>
      </c>
      <c r="G166" s="110">
        <f t="shared" si="85"/>
        <v>3.0000962657495256</v>
      </c>
      <c r="H166" s="63">
        <f t="shared" si="100"/>
        <v>3.4957141585891893</v>
      </c>
      <c r="I166" s="63">
        <f t="shared" si="101"/>
        <v>3.3146634605133554</v>
      </c>
      <c r="J166" s="110">
        <f t="shared" si="86"/>
        <v>3.4051888095512721</v>
      </c>
      <c r="K166" s="64">
        <f t="shared" si="98"/>
        <v>135.48785347516474</v>
      </c>
      <c r="L166" s="64">
        <f t="shared" si="99"/>
        <v>127.89555827677647</v>
      </c>
      <c r="M166" s="64">
        <f t="shared" si="87"/>
        <v>131.6917058759706</v>
      </c>
      <c r="N166" s="67">
        <f t="shared" si="102"/>
        <v>3.3323138557507415</v>
      </c>
      <c r="O166" s="67">
        <f t="shared" si="103"/>
        <v>2.9907718461464503</v>
      </c>
      <c r="P166" s="116">
        <f t="shared" si="88"/>
        <v>3.1615428509485959</v>
      </c>
      <c r="Q166" s="67">
        <f t="shared" si="104"/>
        <v>3.7566383613346126</v>
      </c>
      <c r="R166" s="67">
        <f t="shared" si="105"/>
        <v>3.5308911364208297</v>
      </c>
      <c r="S166" s="116">
        <f t="shared" si="89"/>
        <v>3.6437647488777212</v>
      </c>
      <c r="T166" s="65">
        <f t="shared" si="78"/>
        <v>133.06828209104066</v>
      </c>
      <c r="U166" s="65">
        <f t="shared" si="79"/>
        <v>126.41468494565291</v>
      </c>
      <c r="V166" s="113">
        <f t="shared" si="90"/>
        <v>129.7414835183468</v>
      </c>
      <c r="W166" s="112">
        <f t="shared" si="96"/>
        <v>3.4871409665372717</v>
      </c>
      <c r="X166" s="112">
        <f t="shared" si="97"/>
        <v>3.1588379057580611</v>
      </c>
      <c r="Y166" s="112">
        <f t="shared" si="91"/>
        <v>3.3229894361476662</v>
      </c>
      <c r="Z166" s="66">
        <f t="shared" si="106"/>
        <v>4.0175625640800359</v>
      </c>
      <c r="AA166" s="66">
        <f t="shared" si="107"/>
        <v>3.7471188123283046</v>
      </c>
      <c r="AB166" s="112">
        <f t="shared" si="92"/>
        <v>3.8823406882041702</v>
      </c>
      <c r="AC166" s="216"/>
      <c r="AD166" s="133">
        <f t="shared" si="93"/>
        <v>0.93813971031586407</v>
      </c>
      <c r="AE166" s="133">
        <f t="shared" si="94"/>
        <v>0.94396327786106704</v>
      </c>
      <c r="AF166" s="133">
        <f t="shared" si="95"/>
        <v>0.94999862445931638</v>
      </c>
    </row>
    <row r="167" spans="1:32" x14ac:dyDescent="0.25">
      <c r="A167" s="39">
        <v>179</v>
      </c>
      <c r="B167" s="62">
        <f t="shared" si="70"/>
        <v>138.81213066838009</v>
      </c>
      <c r="C167" s="62">
        <f t="shared" si="71"/>
        <v>130.22464544817993</v>
      </c>
      <c r="D167" s="110">
        <f t="shared" si="84"/>
        <v>134.51838805828001</v>
      </c>
      <c r="E167" s="111">
        <f t="shared" si="82"/>
        <v>3.1793821281919974</v>
      </c>
      <c r="F167" s="111">
        <f t="shared" si="83"/>
        <v>2.8278477196115581</v>
      </c>
      <c r="G167" s="110">
        <f t="shared" si="85"/>
        <v>3.003614923901778</v>
      </c>
      <c r="H167" s="63">
        <f t="shared" si="100"/>
        <v>3.5142718176924572</v>
      </c>
      <c r="I167" s="63">
        <f t="shared" si="101"/>
        <v>3.3338853781004265</v>
      </c>
      <c r="J167" s="110">
        <f t="shared" si="86"/>
        <v>3.4240785978964419</v>
      </c>
      <c r="K167" s="64">
        <f t="shared" si="98"/>
        <v>136.37211103582661</v>
      </c>
      <c r="L167" s="64">
        <f t="shared" si="99"/>
        <v>128.73958173346568</v>
      </c>
      <c r="M167" s="64">
        <f t="shared" si="87"/>
        <v>132.55584638464614</v>
      </c>
      <c r="N167" s="67">
        <f t="shared" si="102"/>
        <v>3.3351607978961093</v>
      </c>
      <c r="O167" s="67">
        <f t="shared" si="103"/>
        <v>2.9967238740964217</v>
      </c>
      <c r="P167" s="116">
        <f t="shared" si="88"/>
        <v>3.1659423359962657</v>
      </c>
      <c r="Q167" s="67">
        <f t="shared" si="104"/>
        <v>3.7778014759827929</v>
      </c>
      <c r="R167" s="67">
        <f t="shared" si="105"/>
        <v>3.5516029447494901</v>
      </c>
      <c r="S167" s="116">
        <f t="shared" si="89"/>
        <v>3.6647022103661415</v>
      </c>
      <c r="T167" s="65">
        <f t="shared" si="78"/>
        <v>133.93209140327315</v>
      </c>
      <c r="U167" s="65">
        <f t="shared" si="79"/>
        <v>127.25451801875147</v>
      </c>
      <c r="V167" s="113">
        <f t="shared" si="90"/>
        <v>130.59330471101231</v>
      </c>
      <c r="W167" s="112">
        <f t="shared" si="96"/>
        <v>3.4909394676002217</v>
      </c>
      <c r="X167" s="112">
        <f t="shared" si="97"/>
        <v>3.1656000285812853</v>
      </c>
      <c r="Y167" s="112">
        <f t="shared" si="91"/>
        <v>3.3282697480907535</v>
      </c>
      <c r="Z167" s="66">
        <f t="shared" si="106"/>
        <v>4.0413311342731291</v>
      </c>
      <c r="AA167" s="66">
        <f t="shared" si="107"/>
        <v>3.7693205113985537</v>
      </c>
      <c r="AB167" s="112">
        <f t="shared" si="92"/>
        <v>3.9053258228358416</v>
      </c>
      <c r="AC167" s="216"/>
      <c r="AD167" s="133">
        <f t="shared" si="93"/>
        <v>0.93813591666051488</v>
      </c>
      <c r="AE167" s="133">
        <f t="shared" si="94"/>
        <v>0.94403159675107062</v>
      </c>
      <c r="AF167" s="133">
        <f t="shared" si="95"/>
        <v>0.95014209578483078</v>
      </c>
    </row>
    <row r="168" spans="1:32" x14ac:dyDescent="0.25">
      <c r="A168" s="39">
        <v>180</v>
      </c>
      <c r="B168" s="62">
        <f t="shared" si="70"/>
        <v>139.71255131331105</v>
      </c>
      <c r="C168" s="62">
        <f t="shared" si="71"/>
        <v>131.0694680301726</v>
      </c>
      <c r="D168" s="110">
        <f t="shared" si="84"/>
        <v>135.39100967174181</v>
      </c>
      <c r="E168" s="111">
        <f t="shared" si="82"/>
        <v>3.1812060799427537</v>
      </c>
      <c r="F168" s="111">
        <f t="shared" si="83"/>
        <v>2.8329037520851803</v>
      </c>
      <c r="G168" s="110">
        <f t="shared" si="85"/>
        <v>3.007054916013967</v>
      </c>
      <c r="H168" s="63">
        <f t="shared" si="100"/>
        <v>3.5330221467619407</v>
      </c>
      <c r="I168" s="63">
        <f t="shared" si="101"/>
        <v>3.3532528751814881</v>
      </c>
      <c r="J168" s="110">
        <f t="shared" si="86"/>
        <v>3.4431375109717144</v>
      </c>
      <c r="K168" s="64">
        <f t="shared" si="98"/>
        <v>137.25213260718263</v>
      </c>
      <c r="L168" s="64">
        <f t="shared" si="99"/>
        <v>129.58031125681401</v>
      </c>
      <c r="M168" s="64">
        <f t="shared" si="87"/>
        <v>133.41622193199834</v>
      </c>
      <c r="N168" s="67">
        <f t="shared" si="102"/>
        <v>3.3379156012574498</v>
      </c>
      <c r="O168" s="67">
        <f t="shared" si="103"/>
        <v>3.0025783928757335</v>
      </c>
      <c r="P168" s="116">
        <f t="shared" si="88"/>
        <v>3.1702469970665916</v>
      </c>
      <c r="Q168" s="67">
        <f t="shared" si="104"/>
        <v>3.7991621100818502</v>
      </c>
      <c r="R168" s="67">
        <f t="shared" si="105"/>
        <v>3.5724636186708105</v>
      </c>
      <c r="S168" s="116">
        <f t="shared" si="89"/>
        <v>3.6858128643763304</v>
      </c>
      <c r="T168" s="65">
        <f t="shared" si="78"/>
        <v>134.79171390105421</v>
      </c>
      <c r="U168" s="65">
        <f t="shared" si="79"/>
        <v>128.09115448345543</v>
      </c>
      <c r="V168" s="113">
        <f t="shared" si="90"/>
        <v>131.4414341922548</v>
      </c>
      <c r="W168" s="112">
        <f t="shared" si="96"/>
        <v>3.4946251225721454</v>
      </c>
      <c r="X168" s="112">
        <f t="shared" si="97"/>
        <v>3.1722530336662871</v>
      </c>
      <c r="Y168" s="112">
        <f t="shared" si="91"/>
        <v>3.3334390781192162</v>
      </c>
      <c r="Z168" s="66">
        <f t="shared" si="106"/>
        <v>4.0653020734017593</v>
      </c>
      <c r="AA168" s="66">
        <f t="shared" si="107"/>
        <v>3.7916743621601334</v>
      </c>
      <c r="AB168" s="112">
        <f t="shared" si="92"/>
        <v>3.9284882177809464</v>
      </c>
      <c r="AC168" s="216"/>
      <c r="AD168" s="133">
        <f t="shared" si="93"/>
        <v>0.93813667274777635</v>
      </c>
      <c r="AE168" s="133">
        <f t="shared" si="94"/>
        <v>0.94410417379578748</v>
      </c>
      <c r="AF168" s="133">
        <f t="shared" si="95"/>
        <v>0.95028953024132168</v>
      </c>
    </row>
    <row r="169" spans="1:32" x14ac:dyDescent="0.25">
      <c r="A169" s="39">
        <v>181</v>
      </c>
      <c r="B169" s="62">
        <f t="shared" si="70"/>
        <v>140.6086635808557</v>
      </c>
      <c r="C169" s="62">
        <f t="shared" si="71"/>
        <v>131.91087668751774</v>
      </c>
      <c r="D169" s="110">
        <f t="shared" si="84"/>
        <v>136.25977013418674</v>
      </c>
      <c r="E169" s="111">
        <f t="shared" si="82"/>
        <v>3.1829613301169419</v>
      </c>
      <c r="F169" s="111">
        <f t="shared" si="83"/>
        <v>2.8378754108138753</v>
      </c>
      <c r="G169" s="110">
        <f t="shared" si="85"/>
        <v>3.0104183704654086</v>
      </c>
      <c r="H169" s="63">
        <f t="shared" si="100"/>
        <v>3.5519671422848145</v>
      </c>
      <c r="I169" s="63">
        <f t="shared" si="101"/>
        <v>3.3727670687013074</v>
      </c>
      <c r="J169" s="110">
        <f t="shared" si="86"/>
        <v>3.4623671054930609</v>
      </c>
      <c r="K169" s="64">
        <f t="shared" si="98"/>
        <v>138.12789630154543</v>
      </c>
      <c r="L169" s="64">
        <f t="shared" si="99"/>
        <v>130.41772340594559</v>
      </c>
      <c r="M169" s="64">
        <f t="shared" si="87"/>
        <v>134.27280985374551</v>
      </c>
      <c r="N169" s="67">
        <f t="shared" si="102"/>
        <v>3.3405813319007005</v>
      </c>
      <c r="O169" s="67">
        <f t="shared" si="103"/>
        <v>3.0083370716989801</v>
      </c>
      <c r="P169" s="116">
        <f t="shared" si="88"/>
        <v>3.1744592017998405</v>
      </c>
      <c r="Q169" s="67">
        <f t="shared" si="104"/>
        <v>3.8207225797624895</v>
      </c>
      <c r="R169" s="67">
        <f t="shared" si="105"/>
        <v>3.5934744122484457</v>
      </c>
      <c r="S169" s="116">
        <f t="shared" si="89"/>
        <v>3.7070984960054676</v>
      </c>
      <c r="T169" s="65">
        <f t="shared" si="78"/>
        <v>135.64712902223519</v>
      </c>
      <c r="U169" s="65">
        <f t="shared" si="79"/>
        <v>128.92457012437342</v>
      </c>
      <c r="V169" s="113">
        <f t="shared" si="90"/>
        <v>132.28584957330429</v>
      </c>
      <c r="W169" s="112">
        <f t="shared" si="96"/>
        <v>3.4982013336844591</v>
      </c>
      <c r="X169" s="112">
        <f t="shared" si="97"/>
        <v>3.1787987325840854</v>
      </c>
      <c r="Y169" s="112">
        <f t="shared" si="91"/>
        <v>3.338500033134272</v>
      </c>
      <c r="Z169" s="66">
        <f t="shared" si="106"/>
        <v>4.0894780172401646</v>
      </c>
      <c r="AA169" s="66">
        <f t="shared" si="107"/>
        <v>3.8141817557955839</v>
      </c>
      <c r="AB169" s="112">
        <f t="shared" si="92"/>
        <v>3.9518298865178743</v>
      </c>
      <c r="AC169" s="216"/>
      <c r="AD169" s="133">
        <f t="shared" si="93"/>
        <v>0.93814188491780681</v>
      </c>
      <c r="AE169" s="133">
        <f t="shared" si="94"/>
        <v>0.94418091419587069</v>
      </c>
      <c r="AF169" s="133">
        <f t="shared" si="95"/>
        <v>0.95044083169088067</v>
      </c>
    </row>
    <row r="170" spans="1:32" x14ac:dyDescent="0.25">
      <c r="A170" s="39">
        <v>182</v>
      </c>
      <c r="B170" s="62">
        <f t="shared" si="70"/>
        <v>141.50044558261098</v>
      </c>
      <c r="C170" s="62">
        <f t="shared" si="71"/>
        <v>132.74884975735833</v>
      </c>
      <c r="D170" s="110">
        <f t="shared" si="84"/>
        <v>137.12464766998465</v>
      </c>
      <c r="E170" s="111">
        <f t="shared" si="82"/>
        <v>3.1846505088684691</v>
      </c>
      <c r="F170" s="111">
        <f t="shared" si="83"/>
        <v>2.8427641983290748</v>
      </c>
      <c r="G170" s="110">
        <f t="shared" si="85"/>
        <v>3.0137073535987717</v>
      </c>
      <c r="H170" s="63">
        <f t="shared" si="100"/>
        <v>3.5711087492236824</v>
      </c>
      <c r="I170" s="63">
        <f t="shared" si="101"/>
        <v>3.3924290656140941</v>
      </c>
      <c r="J170" s="110">
        <f t="shared" si="86"/>
        <v>3.4817689074188882</v>
      </c>
      <c r="K170" s="64">
        <f>(B170+T170)/2</f>
        <v>138.99938152385405</v>
      </c>
      <c r="L170" s="64">
        <f t="shared" si="99"/>
        <v>131.25179573193356</v>
      </c>
      <c r="M170" s="64">
        <f t="shared" si="87"/>
        <v>135.12558862789382</v>
      </c>
      <c r="N170" s="67">
        <f t="shared" si="102"/>
        <v>3.3431609587954974</v>
      </c>
      <c r="O170" s="67">
        <f t="shared" si="103"/>
        <v>3.0140015554315798</v>
      </c>
      <c r="P170" s="116">
        <f t="shared" si="88"/>
        <v>3.1785812571135388</v>
      </c>
      <c r="Q170" s="67">
        <f t="shared" si="104"/>
        <v>3.8424851506858806</v>
      </c>
      <c r="R170" s="67">
        <f t="shared" si="105"/>
        <v>3.6146365681295025</v>
      </c>
      <c r="S170" s="116">
        <f t="shared" si="89"/>
        <v>3.7285608594076916</v>
      </c>
      <c r="T170" s="65">
        <f t="shared" si="78"/>
        <v>136.49831746509713</v>
      </c>
      <c r="U170" s="65">
        <f t="shared" si="79"/>
        <v>129.75474170650881</v>
      </c>
      <c r="V170" s="113">
        <f t="shared" si="90"/>
        <v>133.12652958580298</v>
      </c>
      <c r="W170" s="112">
        <f t="shared" si="96"/>
        <v>3.5016714087225251</v>
      </c>
      <c r="X170" s="112">
        <f t="shared" si="97"/>
        <v>3.1852389125340848</v>
      </c>
      <c r="Y170" s="112">
        <f t="shared" si="91"/>
        <v>3.3434551606283049</v>
      </c>
      <c r="Z170" s="66">
        <f t="shared" si="106"/>
        <v>4.1138615521480784</v>
      </c>
      <c r="AA170" s="66">
        <f t="shared" si="107"/>
        <v>3.836844070644911</v>
      </c>
      <c r="AB170" s="112">
        <f t="shared" si="92"/>
        <v>3.9753528113964949</v>
      </c>
      <c r="AC170" s="216"/>
      <c r="AD170" s="133">
        <f t="shared" si="93"/>
        <v>0.93815146101329216</v>
      </c>
      <c r="AE170" s="133">
        <f t="shared" si="94"/>
        <v>0.94426172471428649</v>
      </c>
      <c r="AF170" s="133">
        <f t="shared" si="95"/>
        <v>0.95059590562123475</v>
      </c>
    </row>
    <row r="171" spans="1:32" x14ac:dyDescent="0.25">
      <c r="A171" s="39">
        <v>183</v>
      </c>
      <c r="B171" s="62">
        <f t="shared" si="70"/>
        <v>142.38787672874156</v>
      </c>
      <c r="C171" s="62">
        <f t="shared" si="71"/>
        <v>133.58336656266948</v>
      </c>
      <c r="D171" s="110">
        <f t="shared" si="84"/>
        <v>137.98562164570552</v>
      </c>
      <c r="E171" s="111">
        <f t="shared" si="82"/>
        <v>3.1862761497201371</v>
      </c>
      <c r="F171" s="111">
        <f t="shared" si="83"/>
        <v>2.847571593002904</v>
      </c>
      <c r="G171" s="110">
        <f t="shared" si="85"/>
        <v>3.0169238713615205</v>
      </c>
      <c r="H171" s="63">
        <f t="shared" si="100"/>
        <v>3.5904488631181009</v>
      </c>
      <c r="I171" s="63">
        <f t="shared" si="101"/>
        <v>3.4122399631499012</v>
      </c>
      <c r="J171" s="110">
        <f t="shared" si="86"/>
        <v>3.5013444131340012</v>
      </c>
      <c r="K171" s="64">
        <f t="shared" si="98"/>
        <v>139.8665689456551</v>
      </c>
      <c r="L171" s="64">
        <f t="shared" si="99"/>
        <v>132.08250676078222</v>
      </c>
      <c r="M171" s="64">
        <f t="shared" si="87"/>
        <v>135.97453785321866</v>
      </c>
      <c r="N171" s="67">
        <f t="shared" si="102"/>
        <v>3.3456573563067824</v>
      </c>
      <c r="O171" s="67">
        <f t="shared" si="103"/>
        <v>3.0195734646583481</v>
      </c>
      <c r="P171" s="116">
        <f t="shared" si="88"/>
        <v>3.1826154104825655</v>
      </c>
      <c r="Q171" s="67">
        <f t="shared" si="104"/>
        <v>3.8644520398153963</v>
      </c>
      <c r="R171" s="67">
        <f t="shared" si="105"/>
        <v>3.6359513178156688</v>
      </c>
      <c r="S171" s="116">
        <f t="shared" si="89"/>
        <v>3.7502016788155323</v>
      </c>
      <c r="T171" s="65">
        <f t="shared" si="78"/>
        <v>137.34526116256862</v>
      </c>
      <c r="U171" s="65">
        <f t="shared" si="79"/>
        <v>130.58164695889499</v>
      </c>
      <c r="V171" s="113">
        <f t="shared" si="90"/>
        <v>133.96345406073181</v>
      </c>
      <c r="W171" s="112">
        <f t="shared" si="96"/>
        <v>3.5050385628934273</v>
      </c>
      <c r="X171" s="112">
        <f t="shared" si="97"/>
        <v>3.1915753363137922</v>
      </c>
      <c r="Y171" s="112">
        <f t="shared" si="91"/>
        <v>3.34830694960361</v>
      </c>
      <c r="Z171" s="66">
        <f t="shared" si="106"/>
        <v>4.1384552165126918</v>
      </c>
      <c r="AA171" s="66">
        <f t="shared" si="107"/>
        <v>3.8596626724814365</v>
      </c>
      <c r="AB171" s="112">
        <f t="shared" si="92"/>
        <v>3.9990589444970643</v>
      </c>
      <c r="AC171" s="216"/>
      <c r="AD171" s="133">
        <f t="shared" si="93"/>
        <v>0.93816531035963646</v>
      </c>
      <c r="AE171" s="133">
        <f t="shared" si="94"/>
        <v>0.94434651365547284</v>
      </c>
      <c r="AF171" s="133">
        <f t="shared" si="95"/>
        <v>0.95075465912385659</v>
      </c>
    </row>
    <row r="172" spans="1:32" x14ac:dyDescent="0.25">
      <c r="A172" s="39">
        <v>184</v>
      </c>
      <c r="B172" s="62">
        <f t="shared" si="70"/>
        <v>143.27093770187315</v>
      </c>
      <c r="C172" s="62">
        <f t="shared" si="71"/>
        <v>134.41440739467436</v>
      </c>
      <c r="D172" s="110">
        <f t="shared" si="84"/>
        <v>138.84267254827375</v>
      </c>
      <c r="E172" s="111">
        <f t="shared" si="82"/>
        <v>3.1878406926267826</v>
      </c>
      <c r="F172" s="111">
        <f t="shared" si="83"/>
        <v>2.8522990492277702</v>
      </c>
      <c r="G172" s="110">
        <f t="shared" si="85"/>
        <v>3.0200698709272764</v>
      </c>
      <c r="H172" s="63">
        <f t="shared" si="100"/>
        <v>3.6099893321315855</v>
      </c>
      <c r="I172" s="63">
        <f t="shared" si="101"/>
        <v>3.4322008490805933</v>
      </c>
      <c r="J172" s="110">
        <f t="shared" si="86"/>
        <v>3.5210950906060896</v>
      </c>
      <c r="K172" s="64">
        <f t="shared" si="98"/>
        <v>140.72944047924398</v>
      </c>
      <c r="L172" s="64">
        <f t="shared" si="99"/>
        <v>132.90983597648193</v>
      </c>
      <c r="M172" s="64">
        <f t="shared" si="87"/>
        <v>136.81963822786295</v>
      </c>
      <c r="N172" s="67">
        <f t="shared" si="102"/>
        <v>3.3480733066702637</v>
      </c>
      <c r="O172" s="67">
        <f t="shared" si="103"/>
        <v>3.0250543957693217</v>
      </c>
      <c r="P172" s="116">
        <f t="shared" si="88"/>
        <v>3.1865638512197929</v>
      </c>
      <c r="Q172" s="67">
        <f t="shared" si="104"/>
        <v>3.8866254171527359</v>
      </c>
      <c r="R172" s="67">
        <f t="shared" si="105"/>
        <v>3.657419881932765</v>
      </c>
      <c r="S172" s="116">
        <f t="shared" si="89"/>
        <v>3.7720226495427505</v>
      </c>
      <c r="T172" s="65">
        <f t="shared" si="78"/>
        <v>138.1879432566148</v>
      </c>
      <c r="U172" s="65">
        <f t="shared" si="79"/>
        <v>131.4052645582895</v>
      </c>
      <c r="V172" s="113">
        <f t="shared" si="90"/>
        <v>134.79660390745215</v>
      </c>
      <c r="W172" s="112">
        <f t="shared" si="96"/>
        <v>3.5083059207137453</v>
      </c>
      <c r="X172" s="112">
        <f t="shared" si="97"/>
        <v>3.1978097423108731</v>
      </c>
      <c r="Y172" s="112">
        <f t="shared" si="91"/>
        <v>3.3530578315123094</v>
      </c>
      <c r="Z172" s="66">
        <f t="shared" si="106"/>
        <v>4.1632615021738868</v>
      </c>
      <c r="AA172" s="66">
        <f t="shared" si="107"/>
        <v>3.8826389147849363</v>
      </c>
      <c r="AB172" s="112">
        <f t="shared" si="92"/>
        <v>4.0229502084794113</v>
      </c>
      <c r="AC172" s="216"/>
      <c r="AD172" s="133">
        <f t="shared" si="93"/>
        <v>0.93818334374534496</v>
      </c>
      <c r="AE172" s="133">
        <f t="shared" si="94"/>
        <v>0.94443519084469496</v>
      </c>
      <c r="AF172" s="133">
        <f t="shared" si="95"/>
        <v>0.95091700087228392</v>
      </c>
    </row>
    <row r="173" spans="1:32" x14ac:dyDescent="0.25">
      <c r="A173" s="39">
        <v>185</v>
      </c>
      <c r="B173" s="62">
        <f t="shared" si="70"/>
        <v>144.14961043114786</v>
      </c>
      <c r="C173" s="62">
        <f t="shared" si="71"/>
        <v>135.24195349535543</v>
      </c>
      <c r="D173" s="110">
        <f t="shared" si="84"/>
        <v>139.69578196325165</v>
      </c>
      <c r="E173" s="111">
        <f t="shared" si="82"/>
        <v>3.1893464869830312</v>
      </c>
      <c r="F173" s="111">
        <f t="shared" si="83"/>
        <v>2.8569479976072105</v>
      </c>
      <c r="G173" s="110">
        <f t="shared" si="85"/>
        <v>3.0231472422951207</v>
      </c>
      <c r="H173" s="63">
        <f t="shared" si="100"/>
        <v>3.6297319590373922</v>
      </c>
      <c r="I173" s="63">
        <f t="shared" si="101"/>
        <v>3.4523128019767402</v>
      </c>
      <c r="J173" s="110">
        <f t="shared" si="86"/>
        <v>3.5410223805070662</v>
      </c>
      <c r="K173" s="64">
        <f t="shared" si="98"/>
        <v>141.58797925197888</v>
      </c>
      <c r="L173" s="64">
        <f t="shared" si="99"/>
        <v>133.73376380414479</v>
      </c>
      <c r="M173" s="64">
        <f t="shared" si="87"/>
        <v>137.66087152806182</v>
      </c>
      <c r="N173" s="67">
        <f t="shared" si="102"/>
        <v>3.350411502447546</v>
      </c>
      <c r="O173" s="67">
        <f t="shared" si="103"/>
        <v>3.0304459210617862</v>
      </c>
      <c r="P173" s="116">
        <f t="shared" si="88"/>
        <v>3.1904287117546661</v>
      </c>
      <c r="Q173" s="67">
        <f t="shared" si="104"/>
        <v>3.9090074074318855</v>
      </c>
      <c r="R173" s="67">
        <f t="shared" si="105"/>
        <v>3.6790434704949089</v>
      </c>
      <c r="S173" s="116">
        <f t="shared" si="89"/>
        <v>3.7940254389633972</v>
      </c>
      <c r="T173" s="65">
        <f t="shared" si="78"/>
        <v>139.02634807280987</v>
      </c>
      <c r="U173" s="65">
        <f t="shared" si="79"/>
        <v>132.22557411293414</v>
      </c>
      <c r="V173" s="113">
        <f t="shared" si="90"/>
        <v>135.62596109287199</v>
      </c>
      <c r="W173" s="112">
        <f t="shared" si="96"/>
        <v>3.5114765179120608</v>
      </c>
      <c r="X173" s="112">
        <f t="shared" si="97"/>
        <v>3.2039438445163615</v>
      </c>
      <c r="Y173" s="112">
        <f t="shared" si="91"/>
        <v>3.3577101812142112</v>
      </c>
      <c r="Z173" s="66">
        <f t="shared" si="106"/>
        <v>4.1882828558263787</v>
      </c>
      <c r="AA173" s="66">
        <f t="shared" si="107"/>
        <v>3.905774139013078</v>
      </c>
      <c r="AB173" s="112">
        <f t="shared" si="92"/>
        <v>4.0470284974197286</v>
      </c>
      <c r="AC173" s="216"/>
      <c r="AD173" s="133">
        <f t="shared" si="93"/>
        <v>0.93820547340259985</v>
      </c>
      <c r="AE173" s="133">
        <f t="shared" si="94"/>
        <v>0.94452766760759943</v>
      </c>
      <c r="AF173" s="133">
        <f t="shared" si="95"/>
        <v>0.95108284110063745</v>
      </c>
    </row>
    <row r="174" spans="1:32" x14ac:dyDescent="0.25">
      <c r="A174" s="39">
        <v>186</v>
      </c>
      <c r="B174" s="62">
        <f t="shared" si="70"/>
        <v>145.02387806645419</v>
      </c>
      <c r="C174" s="62">
        <f t="shared" si="71"/>
        <v>136.06598704006763</v>
      </c>
      <c r="D174" s="110">
        <f t="shared" si="84"/>
        <v>140.54493255326091</v>
      </c>
      <c r="E174" s="111">
        <f t="shared" si="82"/>
        <v>3.190795794573035</v>
      </c>
      <c r="F174" s="111">
        <f t="shared" si="83"/>
        <v>2.861519845157126</v>
      </c>
      <c r="G174" s="110">
        <f t="shared" si="85"/>
        <v>3.0261578198650803</v>
      </c>
      <c r="H174" s="63">
        <f t="shared" si="100"/>
        <v>3.6496785031451484</v>
      </c>
      <c r="I174" s="63">
        <f t="shared" si="101"/>
        <v>3.4725768914620532</v>
      </c>
      <c r="J174" s="110">
        <f t="shared" si="86"/>
        <v>3.5611276973036006</v>
      </c>
      <c r="K174" s="64">
        <f t="shared" si="98"/>
        <v>142.4421695807788</v>
      </c>
      <c r="L174" s="64">
        <f t="shared" si="99"/>
        <v>134.55427159322824</v>
      </c>
      <c r="M174" s="64">
        <f t="shared" si="87"/>
        <v>138.49822058700352</v>
      </c>
      <c r="N174" s="67">
        <f t="shared" si="102"/>
        <v>3.3526745489571588</v>
      </c>
      <c r="O174" s="67">
        <f t="shared" si="103"/>
        <v>3.0357495888574659</v>
      </c>
      <c r="P174" s="116">
        <f t="shared" si="88"/>
        <v>3.1942120689073121</v>
      </c>
      <c r="Q174" s="67">
        <f t="shared" si="104"/>
        <v>3.9316000917747433</v>
      </c>
      <c r="R174" s="67">
        <f t="shared" si="105"/>
        <v>3.7008232831642989</v>
      </c>
      <c r="S174" s="116">
        <f t="shared" si="89"/>
        <v>3.8162116874695213</v>
      </c>
      <c r="T174" s="65">
        <f t="shared" si="78"/>
        <v>139.86046109510337</v>
      </c>
      <c r="U174" s="65">
        <f t="shared" si="79"/>
        <v>133.04255614638888</v>
      </c>
      <c r="V174" s="113">
        <f t="shared" si="90"/>
        <v>136.45150862074613</v>
      </c>
      <c r="W174" s="112">
        <f t="shared" si="96"/>
        <v>3.5145533033412826</v>
      </c>
      <c r="X174" s="112">
        <f t="shared" si="97"/>
        <v>3.2099793325578054</v>
      </c>
      <c r="Y174" s="112">
        <f t="shared" si="91"/>
        <v>3.362266317949544</v>
      </c>
      <c r="Z174" s="66">
        <f t="shared" si="106"/>
        <v>4.2135216804043383</v>
      </c>
      <c r="AA174" s="66">
        <f t="shared" si="107"/>
        <v>3.9290696748665446</v>
      </c>
      <c r="AB174" s="112">
        <f t="shared" si="92"/>
        <v>4.0712956776354412</v>
      </c>
      <c r="AC174" s="216"/>
      <c r="AD174" s="133">
        <f t="shared" si="93"/>
        <v>0.9382316129880226</v>
      </c>
      <c r="AE174" s="133">
        <f t="shared" si="94"/>
        <v>0.94462385674996796</v>
      </c>
      <c r="AF174" s="133">
        <f t="shared" si="95"/>
        <v>0.95125209158234925</v>
      </c>
    </row>
    <row r="175" spans="1:32" x14ac:dyDescent="0.25">
      <c r="A175" s="39">
        <v>187</v>
      </c>
      <c r="B175" s="62">
        <f t="shared" si="70"/>
        <v>145.89372495284243</v>
      </c>
      <c r="C175" s="62">
        <f t="shared" si="71"/>
        <v>136.8864911202603</v>
      </c>
      <c r="D175" s="110">
        <f t="shared" si="84"/>
        <v>141.39010803655137</v>
      </c>
      <c r="E175" s="111">
        <f t="shared" si="82"/>
        <v>3.1921907924599466</v>
      </c>
      <c r="F175" s="111">
        <f t="shared" si="83"/>
        <v>2.8660159755166124</v>
      </c>
      <c r="G175" s="110">
        <f t="shared" si="85"/>
        <v>3.0291033839882795</v>
      </c>
      <c r="H175" s="63">
        <f t="shared" si="100"/>
        <v>3.6698306821726692</v>
      </c>
      <c r="I175" s="63">
        <f t="shared" si="101"/>
        <v>3.4929941784611143</v>
      </c>
      <c r="J175" s="110">
        <f t="shared" si="86"/>
        <v>3.5814124303168917</v>
      </c>
      <c r="K175" s="64">
        <f t="shared" si="98"/>
        <v>143.29199694681745</v>
      </c>
      <c r="L175" s="64">
        <f t="shared" si="99"/>
        <v>135.3713416008531</v>
      </c>
      <c r="M175" s="64">
        <f t="shared" si="87"/>
        <v>139.33166927383527</v>
      </c>
      <c r="N175" s="67">
        <f t="shared" si="102"/>
        <v>3.3548649666781083</v>
      </c>
      <c r="O175" s="67">
        <f t="shared" si="103"/>
        <v>3.0409669236339125</v>
      </c>
      <c r="P175" s="116">
        <f t="shared" si="88"/>
        <v>3.1979159451560104</v>
      </c>
      <c r="Q175" s="67">
        <f t="shared" si="104"/>
        <v>3.9544055093042028</v>
      </c>
      <c r="R175" s="67">
        <f t="shared" si="105"/>
        <v>3.7227605095070633</v>
      </c>
      <c r="S175" s="116">
        <f t="shared" si="89"/>
        <v>3.838583009405633</v>
      </c>
      <c r="T175" s="65">
        <f t="shared" si="78"/>
        <v>140.69026894079249</v>
      </c>
      <c r="U175" s="65">
        <f t="shared" si="79"/>
        <v>133.85619208144587</v>
      </c>
      <c r="V175" s="113">
        <f t="shared" si="90"/>
        <v>137.27323051111918</v>
      </c>
      <c r="W175" s="112">
        <f t="shared" si="96"/>
        <v>3.5175391408962695</v>
      </c>
      <c r="X175" s="112">
        <f t="shared" si="97"/>
        <v>3.2159178717512131</v>
      </c>
      <c r="Y175" s="112">
        <f t="shared" si="91"/>
        <v>3.3667285063237413</v>
      </c>
      <c r="Z175" s="66">
        <f t="shared" si="106"/>
        <v>4.2389803364357368</v>
      </c>
      <c r="AA175" s="66">
        <f t="shared" si="107"/>
        <v>3.9525268405530118</v>
      </c>
      <c r="AB175" s="112">
        <f t="shared" si="92"/>
        <v>4.0957535884943743</v>
      </c>
      <c r="AC175" s="216"/>
      <c r="AD175" s="133">
        <f t="shared" si="93"/>
        <v>0.93826167756362677</v>
      </c>
      <c r="AE175" s="133">
        <f t="shared" si="94"/>
        <v>0.94472367253766387</v>
      </c>
      <c r="AF175" s="133">
        <f t="shared" si="95"/>
        <v>0.95142466560908601</v>
      </c>
    </row>
    <row r="176" spans="1:32" x14ac:dyDescent="0.25">
      <c r="A176" s="39">
        <v>188</v>
      </c>
      <c r="B176" s="62">
        <f t="shared" si="70"/>
        <v>146.75913660513785</v>
      </c>
      <c r="C176" s="62">
        <f t="shared" si="71"/>
        <v>137.70344972631452</v>
      </c>
      <c r="D176" s="110">
        <f t="shared" si="84"/>
        <v>142.23129316572619</v>
      </c>
      <c r="E176" s="111">
        <f t="shared" si="82"/>
        <v>3.1935335758132743</v>
      </c>
      <c r="F176" s="111">
        <f t="shared" si="83"/>
        <v>2.8704377491675879</v>
      </c>
      <c r="G176" s="110">
        <f t="shared" si="85"/>
        <v>3.0319856624904311</v>
      </c>
      <c r="H176" s="63">
        <f t="shared" si="100"/>
        <v>3.6901901740550103</v>
      </c>
      <c r="I176" s="63">
        <f t="shared" si="101"/>
        <v>3.5135657154422604</v>
      </c>
      <c r="J176" s="110">
        <f t="shared" si="86"/>
        <v>3.6018779447486353</v>
      </c>
      <c r="K176" s="64">
        <f t="shared" ref="K176:K188" si="108">(B176+T176)/2</f>
        <v>144.13744797042332</v>
      </c>
      <c r="L176" s="64">
        <f t="shared" ref="L176:L188" si="109">(C176+U176)/2</f>
        <v>136.18495697522232</v>
      </c>
      <c r="M176" s="64">
        <f t="shared" si="87"/>
        <v>140.16120247282282</v>
      </c>
      <c r="N176" s="67">
        <f t="shared" si="102"/>
        <v>3.356985193622914</v>
      </c>
      <c r="O176" s="67">
        <f t="shared" si="103"/>
        <v>3.0460994261691448</v>
      </c>
      <c r="P176" s="116">
        <f t="shared" si="88"/>
        <v>3.2015423098960296</v>
      </c>
      <c r="Q176" s="67">
        <f t="shared" si="104"/>
        <v>3.9774256587172596</v>
      </c>
      <c r="R176" s="67">
        <f t="shared" si="105"/>
        <v>3.7448563292449748</v>
      </c>
      <c r="S176" s="116">
        <f t="shared" si="89"/>
        <v>3.8611409939811172</v>
      </c>
      <c r="T176" s="65">
        <f t="shared" si="78"/>
        <v>141.51575933570879</v>
      </c>
      <c r="U176" s="65">
        <f t="shared" si="79"/>
        <v>134.66646422413012</v>
      </c>
      <c r="V176" s="113">
        <f t="shared" si="90"/>
        <v>138.09111177991946</v>
      </c>
      <c r="W176" s="112">
        <f t="shared" si="96"/>
        <v>3.5204368114325537</v>
      </c>
      <c r="X176" s="112">
        <f t="shared" si="97"/>
        <v>3.2217611031707016</v>
      </c>
      <c r="Y176" s="112">
        <f t="shared" si="91"/>
        <v>3.3710989573016277</v>
      </c>
      <c r="Z176" s="66">
        <f t="shared" si="106"/>
        <v>4.2646611433795085</v>
      </c>
      <c r="AA176" s="66">
        <f t="shared" si="107"/>
        <v>3.9761469430476897</v>
      </c>
      <c r="AB176" s="112">
        <f t="shared" si="92"/>
        <v>4.1204040432135987</v>
      </c>
      <c r="AC176" s="216"/>
      <c r="AD176" s="133">
        <f t="shared" si="93"/>
        <v>0.93829558357795417</v>
      </c>
      <c r="AE176" s="133">
        <f t="shared" si="94"/>
        <v>0.94482703067676876</v>
      </c>
      <c r="AF176" s="133">
        <f t="shared" si="95"/>
        <v>0.95160047796987379</v>
      </c>
    </row>
    <row r="177" spans="1:32" x14ac:dyDescent="0.25">
      <c r="A177" s="39">
        <v>189</v>
      </c>
      <c r="B177" s="62">
        <f t="shared" ref="B177:B188" si="110">(1.62 + ((297.67 - 1.62)*(($A177/190.42)^2.2051)))/(1 + (($A177 / 190.42)^2.2051))</f>
        <v>147.62009968276087</v>
      </c>
      <c r="C177" s="62">
        <f t="shared" ref="C177:C188" si="111">(1.582 + ((301.11 - 1.582)*(($A177/204.36)^2.0729)))/( 1 + ($A177 / 204.36)^2.0729)</f>
        <v>138.51684773050141</v>
      </c>
      <c r="D177" s="110">
        <f t="shared" si="84"/>
        <v>143.06847370663115</v>
      </c>
      <c r="E177" s="111">
        <f t="shared" si="82"/>
        <v>3.1948261606725903</v>
      </c>
      <c r="F177" s="111">
        <f t="shared" si="83"/>
        <v>2.8747865036624809</v>
      </c>
      <c r="G177" s="110">
        <f t="shared" si="85"/>
        <v>3.0348063321675358</v>
      </c>
      <c r="H177" s="63">
        <f t="shared" ref="H177:H188" si="112">E177/(B177-B176)</f>
        <v>3.7107586187006056</v>
      </c>
      <c r="I177" s="63">
        <f t="shared" ref="I177:I188" si="113">F177/(C177-C176)</f>
        <v>3.5342925466558479</v>
      </c>
      <c r="J177" s="110">
        <f t="shared" si="86"/>
        <v>3.622525582678227</v>
      </c>
      <c r="K177" s="64">
        <f t="shared" si="108"/>
        <v>144.9785103861953</v>
      </c>
      <c r="L177" s="64">
        <f t="shared" si="109"/>
        <v>136.99510173914746</v>
      </c>
      <c r="M177" s="64">
        <f t="shared" si="87"/>
        <v>140.98680606267138</v>
      </c>
      <c r="N177" s="67">
        <f t="shared" ref="N177:N188" si="114">(E177+W177)/2</f>
        <v>3.3590375876774505</v>
      </c>
      <c r="O177" s="67">
        <f t="shared" ref="O177:O188" si="115">(F177+X177)/2</f>
        <v>3.0511485736986379</v>
      </c>
      <c r="P177" s="116">
        <f t="shared" si="88"/>
        <v>3.2050930806880444</v>
      </c>
      <c r="Q177" s="67">
        <f t="shared" ref="Q177:Q188" si="116">(H177+Z177)/2</f>
        <v>4.0006624998174463</v>
      </c>
      <c r="R177" s="67">
        <f t="shared" ref="R177:R188" si="117">(I177+AA177)/2</f>
        <v>3.767111912501846</v>
      </c>
      <c r="S177" s="116">
        <f t="shared" si="89"/>
        <v>3.8838872061596463</v>
      </c>
      <c r="T177" s="65">
        <f t="shared" ref="T177:T188" si="118">(1.62+((284.51-1.62)*(($A177/188.9)^2.2013)))/(1+(($A177 / 188.9)^2.2013))</f>
        <v>142.33692108962975</v>
      </c>
      <c r="U177" s="65">
        <f t="shared" ref="U177:U188" si="119">(1.582+((300.01-1.582)*(($A177/207.81)^2.0705)))/(1+($A177/207.81)^2.0705)</f>
        <v>135.47335574779348</v>
      </c>
      <c r="V177" s="113">
        <f t="shared" si="90"/>
        <v>138.9051384187116</v>
      </c>
      <c r="W177" s="112">
        <f t="shared" si="96"/>
        <v>3.5232490146823108</v>
      </c>
      <c r="X177" s="112">
        <f t="shared" si="97"/>
        <v>3.2275106437347949</v>
      </c>
      <c r="Y177" s="112">
        <f t="shared" si="91"/>
        <v>3.3753798292085531</v>
      </c>
      <c r="Z177" s="66">
        <f t="shared" ref="Z177:Z188" si="120">W177/(T177-T176)</f>
        <v>4.2905663809342878</v>
      </c>
      <c r="AA177" s="66">
        <f t="shared" ref="AA177:AA188" si="121">X177/(U177-U176)</f>
        <v>3.999931278347844</v>
      </c>
      <c r="AB177" s="112">
        <f t="shared" si="92"/>
        <v>4.1452488296410657</v>
      </c>
      <c r="AC177" s="216"/>
      <c r="AD177" s="133">
        <f t="shared" si="93"/>
        <v>0.93833324884739566</v>
      </c>
      <c r="AE177" s="133">
        <f t="shared" si="94"/>
        <v>0.94493384829391924</v>
      </c>
      <c r="AF177" s="133">
        <f t="shared" si="95"/>
        <v>0.95177944493042477</v>
      </c>
    </row>
    <row r="178" spans="1:32" x14ac:dyDescent="0.25">
      <c r="A178" s="39">
        <v>190</v>
      </c>
      <c r="B178" s="62">
        <f t="shared" si="110"/>
        <v>148.4766019647646</v>
      </c>
      <c r="C178" s="62">
        <f t="shared" si="111"/>
        <v>139.32667087006772</v>
      </c>
      <c r="D178" s="110">
        <f t="shared" si="84"/>
        <v>143.90163641741617</v>
      </c>
      <c r="E178" s="111">
        <f t="shared" si="82"/>
        <v>3.1960704866463892</v>
      </c>
      <c r="F178" s="111">
        <f t="shared" si="83"/>
        <v>2.8790635538592766</v>
      </c>
      <c r="G178" s="110">
        <f t="shared" si="85"/>
        <v>3.0375670202528329</v>
      </c>
      <c r="H178" s="63">
        <f t="shared" si="112"/>
        <v>3.7315376196889871</v>
      </c>
      <c r="I178" s="63">
        <f t="shared" si="113"/>
        <v>3.5551757083665687</v>
      </c>
      <c r="J178" s="110">
        <f t="shared" si="86"/>
        <v>3.6433566640277779</v>
      </c>
      <c r="K178" s="64">
        <f t="shared" si="108"/>
        <v>145.8151730183439</v>
      </c>
      <c r="L178" s="64">
        <f t="shared" si="109"/>
        <v>137.80176077368736</v>
      </c>
      <c r="M178" s="64">
        <f t="shared" si="87"/>
        <v>141.80846689601563</v>
      </c>
      <c r="N178" s="67">
        <f t="shared" si="114"/>
        <v>3.3610244289052131</v>
      </c>
      <c r="O178" s="67">
        <f t="shared" si="115"/>
        <v>3.0561158200838121</v>
      </c>
      <c r="P178" s="116">
        <f t="shared" si="88"/>
        <v>3.2085701244945124</v>
      </c>
      <c r="Q178" s="67">
        <f t="shared" si="116"/>
        <v>4.0241179550067692</v>
      </c>
      <c r="R178" s="67">
        <f t="shared" si="117"/>
        <v>3.7895284200470396</v>
      </c>
      <c r="S178" s="116">
        <f t="shared" si="89"/>
        <v>3.9068231875269044</v>
      </c>
      <c r="T178" s="65">
        <f t="shared" si="118"/>
        <v>143.15374407192323</v>
      </c>
      <c r="U178" s="65">
        <f t="shared" si="119"/>
        <v>136.27685067730704</v>
      </c>
      <c r="V178" s="113">
        <f t="shared" si="90"/>
        <v>139.71529737461515</v>
      </c>
      <c r="W178" s="112">
        <f t="shared" si="96"/>
        <v>3.5259783711640371</v>
      </c>
      <c r="X178" s="112">
        <f t="shared" si="97"/>
        <v>3.2331680863083476</v>
      </c>
      <c r="Y178" s="112">
        <f t="shared" si="91"/>
        <v>3.3795732287361924</v>
      </c>
      <c r="Z178" s="66">
        <f t="shared" si="120"/>
        <v>4.3166982903245508</v>
      </c>
      <c r="AA178" s="66">
        <f t="shared" si="121"/>
        <v>4.0238811317275109</v>
      </c>
      <c r="AB178" s="112">
        <f t="shared" si="92"/>
        <v>4.1702897110260313</v>
      </c>
      <c r="AC178" s="216"/>
      <c r="AD178" s="133">
        <f t="shared" si="93"/>
        <v>0.93837459253769639</v>
      </c>
      <c r="AE178" s="133">
        <f t="shared" si="94"/>
        <v>0.94504404391682595</v>
      </c>
      <c r="AF178" s="133">
        <f t="shared" si="95"/>
        <v>0.95196148421265803</v>
      </c>
    </row>
    <row r="179" spans="1:32" x14ac:dyDescent="0.25">
      <c r="A179" s="39">
        <v>191</v>
      </c>
      <c r="B179" s="62">
        <f t="shared" si="110"/>
        <v>149.32863232509891</v>
      </c>
      <c r="C179" s="62">
        <f t="shared" si="111"/>
        <v>140.13290573045333</v>
      </c>
      <c r="D179" s="110">
        <f t="shared" si="84"/>
        <v>144.73076902777612</v>
      </c>
      <c r="E179" s="111">
        <f t="shared" si="82"/>
        <v>3.1972684195451797</v>
      </c>
      <c r="F179" s="111">
        <f t="shared" si="83"/>
        <v>2.8832701921632444</v>
      </c>
      <c r="G179" s="110">
        <f t="shared" si="85"/>
        <v>3.0402693058542121</v>
      </c>
      <c r="H179" s="63">
        <f t="shared" si="112"/>
        <v>3.7525287459130783</v>
      </c>
      <c r="I179" s="63">
        <f t="shared" si="113"/>
        <v>3.5762162290826787</v>
      </c>
      <c r="J179" s="110">
        <f t="shared" si="86"/>
        <v>3.6643724874978787</v>
      </c>
      <c r="K179" s="64">
        <f t="shared" si="108"/>
        <v>146.64742575626633</v>
      </c>
      <c r="L179" s="64">
        <f t="shared" si="109"/>
        <v>138.60491980190591</v>
      </c>
      <c r="M179" s="64">
        <f t="shared" si="87"/>
        <v>142.62617277908612</v>
      </c>
      <c r="N179" s="67">
        <f t="shared" si="114"/>
        <v>3.3629479218139267</v>
      </c>
      <c r="O179" s="67">
        <f t="shared" si="115"/>
        <v>3.061002595991182</v>
      </c>
      <c r="P179" s="116">
        <f t="shared" si="88"/>
        <v>3.2119752589025543</v>
      </c>
      <c r="Q179" s="67">
        <f t="shared" si="116"/>
        <v>4.0477939107354066</v>
      </c>
      <c r="R179" s="67">
        <f t="shared" si="117"/>
        <v>3.8121070035336695</v>
      </c>
      <c r="S179" s="116">
        <f t="shared" si="89"/>
        <v>3.9299504571345381</v>
      </c>
      <c r="T179" s="65">
        <f t="shared" si="118"/>
        <v>143.96621918743372</v>
      </c>
      <c r="U179" s="65">
        <f t="shared" si="119"/>
        <v>137.07693387335848</v>
      </c>
      <c r="V179" s="113">
        <f t="shared" si="90"/>
        <v>140.52157653039609</v>
      </c>
      <c r="W179" s="112">
        <f t="shared" si="96"/>
        <v>3.5286274240826732</v>
      </c>
      <c r="X179" s="112">
        <f t="shared" si="97"/>
        <v>3.2387349998191191</v>
      </c>
      <c r="Y179" s="112">
        <f t="shared" si="91"/>
        <v>3.3836812119508961</v>
      </c>
      <c r="Z179" s="66">
        <f t="shared" si="120"/>
        <v>4.3430590755577354</v>
      </c>
      <c r="AA179" s="66">
        <f t="shared" si="121"/>
        <v>4.0479977779846603</v>
      </c>
      <c r="AB179" s="112">
        <f t="shared" si="92"/>
        <v>4.1955284267711974</v>
      </c>
      <c r="AC179" s="216"/>
      <c r="AD179" s="133">
        <f t="shared" si="93"/>
        <v>0.93841953514563881</v>
      </c>
      <c r="AE179" s="133">
        <f t="shared" si="94"/>
        <v>0.94515753745498832</v>
      </c>
      <c r="AF179" s="133">
        <f t="shared" si="95"/>
        <v>0.95214651497441993</v>
      </c>
    </row>
    <row r="180" spans="1:32" x14ac:dyDescent="0.25">
      <c r="A180" s="39">
        <v>192</v>
      </c>
      <c r="B180" s="62">
        <f t="shared" si="110"/>
        <v>150.17618070810926</v>
      </c>
      <c r="C180" s="62">
        <f t="shared" si="111"/>
        <v>140.93553972864697</v>
      </c>
      <c r="D180" s="110">
        <f t="shared" si="84"/>
        <v>145.55586021837811</v>
      </c>
      <c r="E180" s="111">
        <f t="shared" si="82"/>
        <v>3.1984217539481645</v>
      </c>
      <c r="F180" s="111">
        <f t="shared" si="83"/>
        <v>2.887407688774696</v>
      </c>
      <c r="G180" s="110">
        <f t="shared" si="85"/>
        <v>3.0429147213614303</v>
      </c>
      <c r="H180" s="63">
        <f t="shared" si="112"/>
        <v>3.773733533167642</v>
      </c>
      <c r="I180" s="63">
        <f t="shared" si="113"/>
        <v>3.5974151297763575</v>
      </c>
      <c r="J180" s="110">
        <f t="shared" si="86"/>
        <v>3.685574331472</v>
      </c>
      <c r="K180" s="64">
        <f t="shared" si="108"/>
        <v>147.4752595303633</v>
      </c>
      <c r="L180" s="64">
        <f t="shared" si="109"/>
        <v>139.40456537275293</v>
      </c>
      <c r="M180" s="64">
        <f t="shared" si="87"/>
        <v>143.43991245155811</v>
      </c>
      <c r="N180" s="67">
        <f t="shared" si="114"/>
        <v>3.3648101975826981</v>
      </c>
      <c r="O180" s="67">
        <f t="shared" si="115"/>
        <v>3.0658103090813826</v>
      </c>
      <c r="P180" s="116">
        <f t="shared" si="88"/>
        <v>3.2153102533320403</v>
      </c>
      <c r="Q180" s="67">
        <f t="shared" si="116"/>
        <v>4.0716922189135207</v>
      </c>
      <c r="R180" s="67">
        <f t="shared" si="117"/>
        <v>3.8348488057320522</v>
      </c>
      <c r="S180" s="116">
        <f t="shared" si="89"/>
        <v>3.9532705123227867</v>
      </c>
      <c r="T180" s="65">
        <f t="shared" si="118"/>
        <v>144.77433835261735</v>
      </c>
      <c r="U180" s="65">
        <f t="shared" si="119"/>
        <v>137.87359101685888</v>
      </c>
      <c r="V180" s="113">
        <f t="shared" si="90"/>
        <v>141.32396468473812</v>
      </c>
      <c r="W180" s="112">
        <f t="shared" si="96"/>
        <v>3.531198641217232</v>
      </c>
      <c r="X180" s="112">
        <f t="shared" si="97"/>
        <v>3.2442129293880688</v>
      </c>
      <c r="Y180" s="112">
        <f t="shared" si="91"/>
        <v>3.3877057853026504</v>
      </c>
      <c r="Z180" s="66">
        <f t="shared" si="120"/>
        <v>4.3696509046593999</v>
      </c>
      <c r="AA180" s="66">
        <f t="shared" si="121"/>
        <v>4.072282481687747</v>
      </c>
      <c r="AB180" s="112">
        <f t="shared" si="92"/>
        <v>4.2209666931735734</v>
      </c>
      <c r="AC180" s="216"/>
      <c r="AD180" s="133">
        <f t="shared" si="93"/>
        <v>0.93846799848091156</v>
      </c>
      <c r="AE180" s="133">
        <f t="shared" si="94"/>
        <v>0.94527425018059574</v>
      </c>
      <c r="AF180" s="133">
        <f t="shared" si="95"/>
        <v>0.95233445778939929</v>
      </c>
    </row>
    <row r="181" spans="1:32" x14ac:dyDescent="0.25">
      <c r="A181" s="39">
        <v>193</v>
      </c>
      <c r="B181" s="62">
        <f t="shared" si="110"/>
        <v>151.01923810427925</v>
      </c>
      <c r="C181" s="62">
        <f t="shared" si="111"/>
        <v>141.73456109668342</v>
      </c>
      <c r="D181" s="110">
        <f t="shared" si="84"/>
        <v>146.37689960048135</v>
      </c>
      <c r="E181" s="111">
        <f t="shared" si="82"/>
        <v>3.1995322157031079</v>
      </c>
      <c r="F181" s="111">
        <f t="shared" si="83"/>
        <v>2.8914772919421878</v>
      </c>
      <c r="G181" s="110">
        <f t="shared" si="85"/>
        <v>3.0455047538226481</v>
      </c>
      <c r="H181" s="63">
        <f t="shared" si="112"/>
        <v>3.7951534856802867</v>
      </c>
      <c r="I181" s="63">
        <f t="shared" si="113"/>
        <v>3.6187734241048317</v>
      </c>
      <c r="J181" s="110">
        <f t="shared" si="86"/>
        <v>3.7069634548925592</v>
      </c>
      <c r="K181" s="64">
        <f t="shared" si="108"/>
        <v>148.2986662881062</v>
      </c>
      <c r="L181" s="64">
        <f t="shared" si="109"/>
        <v>140.20068484507402</v>
      </c>
      <c r="M181" s="64">
        <f t="shared" si="87"/>
        <v>144.2496755665901</v>
      </c>
      <c r="N181" s="67">
        <f t="shared" si="114"/>
        <v>3.3666133162481584</v>
      </c>
      <c r="O181" s="67">
        <f t="shared" si="115"/>
        <v>3.0705403442073278</v>
      </c>
      <c r="P181" s="116">
        <f t="shared" si="88"/>
        <v>3.2185768302277431</v>
      </c>
      <c r="Q181" s="67">
        <f t="shared" si="116"/>
        <v>4.0958146982794421</v>
      </c>
      <c r="R181" s="67">
        <f t="shared" si="117"/>
        <v>3.8577549607603245</v>
      </c>
      <c r="S181" s="116">
        <f t="shared" si="89"/>
        <v>3.9767848295198833</v>
      </c>
      <c r="T181" s="65">
        <f t="shared" si="118"/>
        <v>145.57809447193316</v>
      </c>
      <c r="U181" s="65">
        <f t="shared" si="119"/>
        <v>138.66680859346462</v>
      </c>
      <c r="V181" s="113">
        <f t="shared" si="90"/>
        <v>142.1224515326989</v>
      </c>
      <c r="W181" s="112">
        <f t="shared" si="96"/>
        <v>3.5336944167932094</v>
      </c>
      <c r="X181" s="112">
        <f t="shared" si="97"/>
        <v>3.2496033964724673</v>
      </c>
      <c r="Y181" s="112">
        <f t="shared" si="91"/>
        <v>3.3916489066328381</v>
      </c>
      <c r="Z181" s="66">
        <f t="shared" si="120"/>
        <v>4.396475910878598</v>
      </c>
      <c r="AA181" s="66">
        <f t="shared" si="121"/>
        <v>4.0967364974158178</v>
      </c>
      <c r="AB181" s="112">
        <f t="shared" si="92"/>
        <v>4.2466062041472075</v>
      </c>
      <c r="AC181" s="216"/>
      <c r="AD181" s="133">
        <f t="shared" si="93"/>
        <v>0.93851990564814836</v>
      </c>
      <c r="AE181" s="133">
        <f t="shared" si="94"/>
        <v>0.94539410470961427</v>
      </c>
      <c r="AF181" s="133">
        <f t="shared" si="95"/>
        <v>0.95252523462723993</v>
      </c>
    </row>
    <row r="182" spans="1:32" x14ac:dyDescent="0.25">
      <c r="A182" s="39">
        <v>194</v>
      </c>
      <c r="B182" s="62">
        <f t="shared" si="110"/>
        <v>151.85779652622247</v>
      </c>
      <c r="C182" s="62">
        <f t="shared" si="111"/>
        <v>142.52995886528814</v>
      </c>
      <c r="D182" s="110">
        <f t="shared" si="84"/>
        <v>147.1938776957553</v>
      </c>
      <c r="E182" s="111">
        <f t="shared" si="82"/>
        <v>3.2006014643592025</v>
      </c>
      <c r="F182" s="111">
        <f t="shared" si="83"/>
        <v>2.8954802282205674</v>
      </c>
      <c r="G182" s="110">
        <f t="shared" si="85"/>
        <v>3.0480408462898847</v>
      </c>
      <c r="H182" s="63">
        <f t="shared" si="112"/>
        <v>3.8167900775981041</v>
      </c>
      <c r="I182" s="63">
        <f t="shared" si="113"/>
        <v>3.6402921186211161</v>
      </c>
      <c r="J182" s="110">
        <f t="shared" si="86"/>
        <v>3.7285410981096101</v>
      </c>
      <c r="K182" s="64">
        <f t="shared" si="108"/>
        <v>149.11763897035982</v>
      </c>
      <c r="L182" s="64">
        <f t="shared" si="109"/>
        <v>140.99326637175338</v>
      </c>
      <c r="M182" s="64">
        <f t="shared" si="87"/>
        <v>145.0554526710566</v>
      </c>
      <c r="N182" s="67">
        <f t="shared" si="114"/>
        <v>3.3683592688482733</v>
      </c>
      <c r="O182" s="67">
        <f t="shared" si="115"/>
        <v>3.0751940636207618</v>
      </c>
      <c r="P182" s="116">
        <f t="shared" si="88"/>
        <v>3.2217766662345175</v>
      </c>
      <c r="Q182" s="67">
        <f t="shared" si="116"/>
        <v>4.1201631357330228</v>
      </c>
      <c r="R182" s="67">
        <f t="shared" si="117"/>
        <v>3.8808265943095241</v>
      </c>
      <c r="S182" s="116">
        <f t="shared" si="89"/>
        <v>4.0004948650212739</v>
      </c>
      <c r="T182" s="65">
        <f t="shared" si="118"/>
        <v>146.37748141449717</v>
      </c>
      <c r="U182" s="65">
        <f t="shared" si="119"/>
        <v>139.45657387821862</v>
      </c>
      <c r="V182" s="113">
        <f t="shared" si="90"/>
        <v>142.91702764635789</v>
      </c>
      <c r="W182" s="112">
        <f t="shared" si="96"/>
        <v>3.5361170733373446</v>
      </c>
      <c r="X182" s="112">
        <f t="shared" si="97"/>
        <v>3.2549078990209561</v>
      </c>
      <c r="Y182" s="112">
        <f t="shared" si="91"/>
        <v>3.3955124861791504</v>
      </c>
      <c r="Z182" s="66">
        <f t="shared" si="120"/>
        <v>4.4235361938679425</v>
      </c>
      <c r="AA182" s="66">
        <f t="shared" si="121"/>
        <v>4.1213610699979322</v>
      </c>
      <c r="AB182" s="112">
        <f t="shared" si="92"/>
        <v>4.2724486319329369</v>
      </c>
      <c r="AC182" s="216"/>
      <c r="AD182" s="133">
        <f t="shared" si="93"/>
        <v>0.93857518102915694</v>
      </c>
      <c r="AE182" s="133">
        <f t="shared" si="94"/>
        <v>0.945517024983065</v>
      </c>
      <c r="AF182" s="133">
        <f t="shared" si="95"/>
        <v>0.95271876883384399</v>
      </c>
    </row>
    <row r="183" spans="1:32" x14ac:dyDescent="0.25">
      <c r="A183" s="39">
        <v>195</v>
      </c>
      <c r="B183" s="62">
        <f t="shared" si="110"/>
        <v>152.69184898493359</v>
      </c>
      <c r="C183" s="62">
        <f t="shared" si="111"/>
        <v>143.32172284767279</v>
      </c>
      <c r="D183" s="110">
        <f t="shared" si="84"/>
        <v>148.00678591630319</v>
      </c>
      <c r="E183" s="111">
        <f t="shared" si="82"/>
        <v>3.2016310955329619</v>
      </c>
      <c r="F183" s="111">
        <f t="shared" si="83"/>
        <v>2.899417702733325</v>
      </c>
      <c r="G183" s="110">
        <f t="shared" si="85"/>
        <v>3.0505243991331437</v>
      </c>
      <c r="H183" s="63">
        <f t="shared" si="112"/>
        <v>3.8386447544085414</v>
      </c>
      <c r="I183" s="63">
        <f t="shared" si="113"/>
        <v>3.6619722129829624</v>
      </c>
      <c r="J183" s="110">
        <f t="shared" si="86"/>
        <v>3.7503084836957519</v>
      </c>
      <c r="K183" s="64">
        <f t="shared" si="108"/>
        <v>149.9321714879693</v>
      </c>
      <c r="L183" s="64">
        <f t="shared" si="109"/>
        <v>141.78229888399434</v>
      </c>
      <c r="M183" s="64">
        <f t="shared" si="87"/>
        <v>145.85723518598184</v>
      </c>
      <c r="N183" s="67">
        <f t="shared" si="114"/>
        <v>3.3700499795227401</v>
      </c>
      <c r="O183" s="67">
        <f t="shared" si="115"/>
        <v>3.0797728071865382</v>
      </c>
      <c r="P183" s="116">
        <f t="shared" si="88"/>
        <v>3.2249113933546392</v>
      </c>
      <c r="Q183" s="67">
        <f t="shared" si="116"/>
        <v>4.1447392876231754</v>
      </c>
      <c r="R183" s="67">
        <f t="shared" si="117"/>
        <v>3.9040648238642222</v>
      </c>
      <c r="S183" s="116">
        <f t="shared" si="89"/>
        <v>4.0244020557436988</v>
      </c>
      <c r="T183" s="65">
        <f t="shared" si="118"/>
        <v>147.17249399100501</v>
      </c>
      <c r="U183" s="65">
        <f t="shared" si="119"/>
        <v>140.2428749203159</v>
      </c>
      <c r="V183" s="113">
        <f t="shared" si="90"/>
        <v>143.70768445566046</v>
      </c>
      <c r="W183" s="112">
        <f t="shared" si="96"/>
        <v>3.5384688635125188</v>
      </c>
      <c r="X183" s="112">
        <f t="shared" si="97"/>
        <v>3.2601279116397515</v>
      </c>
      <c r="Y183" s="112">
        <f t="shared" si="91"/>
        <v>3.3992983875761351</v>
      </c>
      <c r="Z183" s="66">
        <f t="shared" si="120"/>
        <v>4.4508338208378095</v>
      </c>
      <c r="AA183" s="66">
        <f t="shared" si="121"/>
        <v>4.1461574347454819</v>
      </c>
      <c r="AB183" s="112">
        <f t="shared" si="92"/>
        <v>4.2984956277916453</v>
      </c>
      <c r="AC183" s="216"/>
      <c r="AD183" s="133">
        <f t="shared" si="93"/>
        <v>0.93863375026531137</v>
      </c>
      <c r="AE183" s="133">
        <f t="shared" si="94"/>
        <v>0.94564293624848283</v>
      </c>
      <c r="AF183" s="133">
        <f t="shared" si="95"/>
        <v>0.95291498511187389</v>
      </c>
    </row>
    <row r="184" spans="1:32" x14ac:dyDescent="0.25">
      <c r="A184" s="39">
        <v>196</v>
      </c>
      <c r="B184" s="62">
        <f t="shared" si="110"/>
        <v>153.52138946630168</v>
      </c>
      <c r="C184" s="62">
        <f t="shared" si="111"/>
        <v>144.10984362348555</v>
      </c>
      <c r="D184" s="110">
        <f t="shared" si="84"/>
        <v>148.8156165448936</v>
      </c>
      <c r="E184" s="111">
        <f t="shared" si="82"/>
        <v>3.2026226432073468</v>
      </c>
      <c r="F184" s="111">
        <f t="shared" si="83"/>
        <v>2.9032908994387339</v>
      </c>
      <c r="G184" s="110">
        <f t="shared" si="85"/>
        <v>3.0529567713230401</v>
      </c>
      <c r="H184" s="63">
        <f t="shared" si="112"/>
        <v>3.8607189343255457</v>
      </c>
      <c r="I184" s="63">
        <f t="shared" si="113"/>
        <v>3.6838147001577095</v>
      </c>
      <c r="J184" s="110">
        <f t="shared" si="86"/>
        <v>3.7722668172416274</v>
      </c>
      <c r="K184" s="64">
        <f t="shared" si="108"/>
        <v>150.74225869861544</v>
      </c>
      <c r="L184" s="64">
        <f t="shared" si="109"/>
        <v>142.56777207574146</v>
      </c>
      <c r="M184" s="64">
        <f t="shared" si="87"/>
        <v>146.65501538717845</v>
      </c>
      <c r="N184" s="67">
        <f t="shared" si="114"/>
        <v>3.3716873075690694</v>
      </c>
      <c r="O184" s="67">
        <f t="shared" si="115"/>
        <v>3.0842778926039536</v>
      </c>
      <c r="P184" s="116">
        <f t="shared" si="88"/>
        <v>3.2279826000865115</v>
      </c>
      <c r="Q184" s="67">
        <f t="shared" si="116"/>
        <v>4.1695448810032278</v>
      </c>
      <c r="R184" s="67">
        <f t="shared" si="117"/>
        <v>3.9274707589202706</v>
      </c>
      <c r="S184" s="116">
        <f t="shared" si="89"/>
        <v>4.048507819961749</v>
      </c>
      <c r="T184" s="65">
        <f t="shared" si="118"/>
        <v>147.96312793092918</v>
      </c>
      <c r="U184" s="65">
        <f t="shared" si="119"/>
        <v>141.0257005279974</v>
      </c>
      <c r="V184" s="113">
        <f t="shared" si="90"/>
        <v>144.4944142294633</v>
      </c>
      <c r="W184" s="112">
        <f t="shared" si="96"/>
        <v>3.5407519719307925</v>
      </c>
      <c r="X184" s="112">
        <f t="shared" si="97"/>
        <v>3.2652648857691737</v>
      </c>
      <c r="Y184" s="112">
        <f t="shared" si="91"/>
        <v>3.4030084288499829</v>
      </c>
      <c r="Z184" s="66">
        <f t="shared" si="120"/>
        <v>4.4783708276809095</v>
      </c>
      <c r="AA184" s="66">
        <f t="shared" si="121"/>
        <v>4.1711268176828318</v>
      </c>
      <c r="AB184" s="112">
        <f t="shared" si="92"/>
        <v>4.3247488226818707</v>
      </c>
      <c r="AC184" s="216"/>
      <c r="AD184" s="133">
        <f t="shared" si="93"/>
        <v>0.93869554024013058</v>
      </c>
      <c r="AE184" s="133">
        <f t="shared" si="94"/>
        <v>0.94577176504156313</v>
      </c>
      <c r="AF184" s="133">
        <f t="shared" si="95"/>
        <v>0.95311380950144386</v>
      </c>
    </row>
    <row r="185" spans="1:32" x14ac:dyDescent="0.25">
      <c r="A185" s="39">
        <v>197</v>
      </c>
      <c r="B185" s="62">
        <f t="shared" si="110"/>
        <v>154.34641290789438</v>
      </c>
      <c r="C185" s="62">
        <f t="shared" si="111"/>
        <v>144.8943125229205</v>
      </c>
      <c r="D185" s="110">
        <f t="shared" si="84"/>
        <v>149.62036271540745</v>
      </c>
      <c r="E185" s="111">
        <f t="shared" si="82"/>
        <v>3.2035775819644878</v>
      </c>
      <c r="F185" s="111">
        <f t="shared" si="83"/>
        <v>2.9071009813992781</v>
      </c>
      <c r="G185" s="110">
        <f t="shared" si="85"/>
        <v>3.0553392816818832</v>
      </c>
      <c r="H185" s="63">
        <f t="shared" si="112"/>
        <v>3.8830140096141337</v>
      </c>
      <c r="I185" s="63">
        <f t="shared" si="113"/>
        <v>3.7058205666193169</v>
      </c>
      <c r="J185" s="110">
        <f t="shared" si="86"/>
        <v>3.7944172881167253</v>
      </c>
      <c r="K185" s="64">
        <f t="shared" si="108"/>
        <v>151.54789638394482</v>
      </c>
      <c r="L185" s="64">
        <f t="shared" si="109"/>
        <v>143.3496763882483</v>
      </c>
      <c r="M185" s="64">
        <f t="shared" si="87"/>
        <v>147.44878638609657</v>
      </c>
      <c r="N185" s="67">
        <f t="shared" si="114"/>
        <v>3.373273049453656</v>
      </c>
      <c r="O185" s="67">
        <f t="shared" si="115"/>
        <v>3.0887106156345268</v>
      </c>
      <c r="P185" s="116">
        <f t="shared" si="88"/>
        <v>3.2309918325440914</v>
      </c>
      <c r="Q185" s="67">
        <f t="shared" si="116"/>
        <v>4.194581614844159</v>
      </c>
      <c r="R185" s="67">
        <f t="shared" si="117"/>
        <v>3.951045501196452</v>
      </c>
      <c r="S185" s="116">
        <f t="shared" si="89"/>
        <v>4.0728135580203055</v>
      </c>
      <c r="T185" s="65">
        <f t="shared" si="118"/>
        <v>148.74937985999523</v>
      </c>
      <c r="U185" s="65">
        <f t="shared" si="119"/>
        <v>141.8050402535761</v>
      </c>
      <c r="V185" s="113">
        <f t="shared" si="90"/>
        <v>145.27721005678566</v>
      </c>
      <c r="W185" s="112">
        <f t="shared" si="96"/>
        <v>3.5429685169428242</v>
      </c>
      <c r="X185" s="112">
        <f t="shared" si="97"/>
        <v>3.2703202498697754</v>
      </c>
      <c r="Y185" s="112">
        <f t="shared" si="91"/>
        <v>3.4066443834062996</v>
      </c>
      <c r="Z185" s="66">
        <f t="shared" si="120"/>
        <v>4.5061492200741853</v>
      </c>
      <c r="AA185" s="66">
        <f t="shared" si="121"/>
        <v>4.1962704357735872</v>
      </c>
      <c r="AB185" s="112">
        <f t="shared" si="92"/>
        <v>4.3512098279238867</v>
      </c>
      <c r="AC185" s="216"/>
      <c r="AD185" s="133">
        <f t="shared" si="93"/>
        <v>0.93876047906202797</v>
      </c>
      <c r="AE185" s="133">
        <f t="shared" si="94"/>
        <v>0.94590343916799458</v>
      </c>
      <c r="AF185" s="133">
        <f t="shared" si="95"/>
        <v>0.95331516936100691</v>
      </c>
    </row>
    <row r="186" spans="1:32" x14ac:dyDescent="0.25">
      <c r="A186" s="39">
        <v>198</v>
      </c>
      <c r="B186" s="62">
        <f t="shared" si="110"/>
        <v>155.1669151760174</v>
      </c>
      <c r="C186" s="62">
        <f t="shared" si="111"/>
        <v>145.67512161098892</v>
      </c>
      <c r="D186" s="110">
        <f t="shared" si="84"/>
        <v>150.42101839350318</v>
      </c>
      <c r="E186" s="111">
        <f t="shared" si="82"/>
        <v>3.2044973291525261</v>
      </c>
      <c r="F186" s="111">
        <f t="shared" si="83"/>
        <v>2.9108490910539051</v>
      </c>
      <c r="G186" s="110">
        <f t="shared" si="85"/>
        <v>3.0576732101032156</v>
      </c>
      <c r="H186" s="63">
        <f t="shared" si="112"/>
        <v>3.9055313478695473</v>
      </c>
      <c r="I186" s="63">
        <f t="shared" si="113"/>
        <v>3.7279907925441869</v>
      </c>
      <c r="J186" s="110">
        <f t="shared" si="86"/>
        <v>3.8167610702068671</v>
      </c>
      <c r="K186" s="64">
        <f t="shared" si="108"/>
        <v>152.3490812269801</v>
      </c>
      <c r="L186" s="64">
        <f t="shared" si="109"/>
        <v>144.12800299479409</v>
      </c>
      <c r="M186" s="64">
        <f t="shared" si="87"/>
        <v>148.2385421108871</v>
      </c>
      <c r="N186" s="67">
        <f t="shared" si="114"/>
        <v>3.3748089407772981</v>
      </c>
      <c r="O186" s="67">
        <f t="shared" si="115"/>
        <v>3.0930722503356143</v>
      </c>
      <c r="P186" s="116">
        <f t="shared" si="88"/>
        <v>3.2339405955564562</v>
      </c>
      <c r="Q186" s="67">
        <f t="shared" si="116"/>
        <v>4.2198511612082825</v>
      </c>
      <c r="R186" s="67">
        <f t="shared" si="117"/>
        <v>3.9747901448431739</v>
      </c>
      <c r="S186" s="116">
        <f t="shared" si="89"/>
        <v>4.0973206530257285</v>
      </c>
      <c r="T186" s="65">
        <f t="shared" si="118"/>
        <v>149.53124727794284</v>
      </c>
      <c r="U186" s="65">
        <f t="shared" si="119"/>
        <v>142.58088437859928</v>
      </c>
      <c r="V186" s="113">
        <f t="shared" si="90"/>
        <v>146.05606582827107</v>
      </c>
      <c r="W186" s="112">
        <f t="shared" si="96"/>
        <v>3.5451205524020701</v>
      </c>
      <c r="X186" s="112">
        <f t="shared" si="97"/>
        <v>3.2752954096173235</v>
      </c>
      <c r="Y186" s="112">
        <f t="shared" si="91"/>
        <v>3.4102079810096968</v>
      </c>
      <c r="Z186" s="66">
        <f t="shared" si="120"/>
        <v>4.5341709745470169</v>
      </c>
      <c r="AA186" s="66">
        <f t="shared" si="121"/>
        <v>4.221589497142161</v>
      </c>
      <c r="AB186" s="112">
        <f t="shared" si="92"/>
        <v>4.3778802358445894</v>
      </c>
      <c r="AC186" s="216"/>
      <c r="AD186" s="133">
        <f t="shared" si="93"/>
        <v>0.93882849604723262</v>
      </c>
      <c r="AE186" s="133">
        <f t="shared" si="94"/>
        <v>0.94603788768546826</v>
      </c>
      <c r="AF186" s="133">
        <f t="shared" si="95"/>
        <v>0.95351899334843038</v>
      </c>
    </row>
    <row r="187" spans="1:32" x14ac:dyDescent="0.25">
      <c r="A187" s="39">
        <v>199</v>
      </c>
      <c r="B187" s="62">
        <f t="shared" si="110"/>
        <v>155.98289304305374</v>
      </c>
      <c r="C187" s="62">
        <f t="shared" si="111"/>
        <v>146.45226367195602</v>
      </c>
      <c r="D187" s="110">
        <f t="shared" si="84"/>
        <v>151.21757835750486</v>
      </c>
      <c r="E187" s="111">
        <f t="shared" si="82"/>
        <v>3.2053832469872265</v>
      </c>
      <c r="F187" s="111">
        <f t="shared" si="83"/>
        <v>2.9145363504926607</v>
      </c>
      <c r="G187" s="110">
        <f t="shared" si="85"/>
        <v>3.0599597987399436</v>
      </c>
      <c r="H187" s="63">
        <f t="shared" si="112"/>
        <v>3.9282722932538574</v>
      </c>
      <c r="I187" s="63">
        <f t="shared" si="113"/>
        <v>3.7503263520002283</v>
      </c>
      <c r="J187" s="110">
        <f t="shared" si="86"/>
        <v>3.8392993226270429</v>
      </c>
      <c r="K187" s="64">
        <f t="shared" si="108"/>
        <v>153.14581078981394</v>
      </c>
      <c r="L187" s="64">
        <f t="shared" si="109"/>
        <v>144.90274378555313</v>
      </c>
      <c r="M187" s="64">
        <f t="shared" si="87"/>
        <v>149.02427728768353</v>
      </c>
      <c r="N187" s="67">
        <f t="shared" si="114"/>
        <v>3.376296658194804</v>
      </c>
      <c r="O187" s="67">
        <f t="shared" si="115"/>
        <v>3.0973640492993049</v>
      </c>
      <c r="P187" s="116">
        <f t="shared" si="88"/>
        <v>3.2368303537470542</v>
      </c>
      <c r="Q187" s="67">
        <f t="shared" si="116"/>
        <v>4.2453551663927565</v>
      </c>
      <c r="R187" s="67">
        <f t="shared" si="117"/>
        <v>3.9987057766466951</v>
      </c>
      <c r="S187" s="116">
        <f t="shared" si="89"/>
        <v>4.122030471519726</v>
      </c>
      <c r="T187" s="65">
        <f t="shared" si="118"/>
        <v>150.30872853657414</v>
      </c>
      <c r="U187" s="65">
        <f t="shared" si="119"/>
        <v>143.35322389915027</v>
      </c>
      <c r="V187" s="113">
        <f t="shared" si="90"/>
        <v>146.8309762178622</v>
      </c>
      <c r="W187" s="112">
        <f t="shared" si="96"/>
        <v>3.5472100694023814</v>
      </c>
      <c r="X187" s="112">
        <f t="shared" si="97"/>
        <v>3.2801917481059486</v>
      </c>
      <c r="Y187" s="112">
        <f t="shared" si="91"/>
        <v>3.4137009087541648</v>
      </c>
      <c r="Z187" s="66">
        <f t="shared" si="120"/>
        <v>4.5624380395316555</v>
      </c>
      <c r="AA187" s="66">
        <f t="shared" si="121"/>
        <v>4.2470852012931619</v>
      </c>
      <c r="AB187" s="112">
        <f t="shared" si="92"/>
        <v>4.4047616204124083</v>
      </c>
      <c r="AC187" s="216"/>
      <c r="AD187" s="133">
        <f t="shared" si="93"/>
        <v>0.93889952170288882</v>
      </c>
      <c r="AE187" s="133">
        <f t="shared" si="94"/>
        <v>0.94617504088587789</v>
      </c>
      <c r="AF187" s="133">
        <f t="shared" si="95"/>
        <v>0.95372521140226785</v>
      </c>
    </row>
    <row r="188" spans="1:32" x14ac:dyDescent="0.25">
      <c r="A188" s="39">
        <v>200</v>
      </c>
      <c r="B188" s="62">
        <f t="shared" si="110"/>
        <v>156.7943441650884</v>
      </c>
      <c r="C188" s="62">
        <f t="shared" si="111"/>
        <v>147.22573219394582</v>
      </c>
      <c r="D188" s="110">
        <f t="shared" si="84"/>
        <v>152.0100381795171</v>
      </c>
      <c r="E188" s="111">
        <f t="shared" si="82"/>
        <v>3.2062366445891315</v>
      </c>
      <c r="F188" s="111">
        <f t="shared" si="83"/>
        <v>2.918163861733293</v>
      </c>
      <c r="G188" s="110">
        <f t="shared" si="85"/>
        <v>3.0622002531612122</v>
      </c>
      <c r="H188" s="63">
        <f t="shared" si="112"/>
        <v>3.9512381676787527</v>
      </c>
      <c r="I188" s="63">
        <f t="shared" si="113"/>
        <v>3.7728282131328705</v>
      </c>
      <c r="J188" s="110">
        <f t="shared" si="86"/>
        <v>3.8620331904058114</v>
      </c>
      <c r="K188" s="64">
        <f t="shared" si="108"/>
        <v>153.93808349159167</v>
      </c>
      <c r="L188" s="64">
        <f t="shared" si="109"/>
        <v>145.67389135261942</v>
      </c>
      <c r="M188" s="64">
        <f t="shared" si="87"/>
        <v>149.80598742210555</v>
      </c>
      <c r="N188" s="67">
        <f t="shared" si="114"/>
        <v>3.3777378212884477</v>
      </c>
      <c r="O188" s="67">
        <f t="shared" si="115"/>
        <v>3.1015872438960566</v>
      </c>
      <c r="P188" s="116">
        <f t="shared" si="88"/>
        <v>3.2396625325922521</v>
      </c>
      <c r="Q188" s="67">
        <f t="shared" si="116"/>
        <v>4.2710952520280623</v>
      </c>
      <c r="R188" s="67">
        <f t="shared" si="117"/>
        <v>4.0227934762290705</v>
      </c>
      <c r="S188" s="116">
        <f t="shared" si="89"/>
        <v>4.1469443641285668</v>
      </c>
      <c r="T188" s="65">
        <f t="shared" si="118"/>
        <v>151.08182281809491</v>
      </c>
      <c r="U188" s="65">
        <f t="shared" si="119"/>
        <v>144.12205051129303</v>
      </c>
      <c r="V188" s="113">
        <f t="shared" si="90"/>
        <v>147.60193666469397</v>
      </c>
      <c r="W188" s="112">
        <f t="shared" si="96"/>
        <v>3.5492389979877639</v>
      </c>
      <c r="X188" s="112">
        <f t="shared" si="97"/>
        <v>3.2850106260588197</v>
      </c>
      <c r="Y188" s="112">
        <f t="shared" si="91"/>
        <v>3.4171248120232915</v>
      </c>
      <c r="Z188" s="66">
        <f t="shared" si="120"/>
        <v>4.5909523363773719</v>
      </c>
      <c r="AA188" s="66">
        <f t="shared" si="121"/>
        <v>4.2727587393252708</v>
      </c>
      <c r="AB188" s="112">
        <f t="shared" si="92"/>
        <v>4.4318555378513214</v>
      </c>
      <c r="AC188" s="216"/>
      <c r="AD188" s="133">
        <f t="shared" si="93"/>
        <v>0.93897348771032318</v>
      </c>
      <c r="AE188" s="133">
        <f t="shared" si="94"/>
        <v>0.94631483027769636</v>
      </c>
      <c r="AF188" s="133">
        <f t="shared" si="95"/>
        <v>0.95393375472321662</v>
      </c>
    </row>
  </sheetData>
  <mergeCells count="14">
    <mergeCell ref="AD4:AF4"/>
    <mergeCell ref="B2:AA2"/>
    <mergeCell ref="H4:J4"/>
    <mergeCell ref="E4:G4"/>
    <mergeCell ref="B4:D4"/>
    <mergeCell ref="Z4:AB4"/>
    <mergeCell ref="W4:Y4"/>
    <mergeCell ref="T4:V4"/>
    <mergeCell ref="T3:AB3"/>
    <mergeCell ref="B3:J3"/>
    <mergeCell ref="K4:M4"/>
    <mergeCell ref="N4:P4"/>
    <mergeCell ref="K3:S3"/>
    <mergeCell ref="Q4:S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ADF8-BDBA-4362-8C34-9A9C80F90EF4}">
  <sheetPr codeName="Sheet4"/>
  <dimension ref="B1:F5"/>
  <sheetViews>
    <sheetView showGridLines="0" showRowColHeaders="0" tabSelected="1" zoomScale="70" zoomScaleNormal="70" workbookViewId="0">
      <selection activeCell="O43" sqref="O43"/>
    </sheetView>
  </sheetViews>
  <sheetFormatPr defaultColWidth="8.85546875" defaultRowHeight="15" x14ac:dyDescent="0.25"/>
  <cols>
    <col min="1" max="1" width="22.28515625" bestFit="1" customWidth="1"/>
    <col min="2" max="6" width="8.85546875" style="188"/>
  </cols>
  <sheetData>
    <row r="1" spans="2:6" s="70" customFormat="1" ht="77.099999999999994" customHeight="1" x14ac:dyDescent="0.25">
      <c r="B1" s="69"/>
      <c r="C1" s="69"/>
      <c r="D1" s="69"/>
      <c r="E1" s="69"/>
      <c r="F1" s="69"/>
    </row>
    <row r="2" spans="2:6" s="70" customFormat="1" ht="24" customHeight="1" x14ac:dyDescent="0.25">
      <c r="B2" s="69"/>
      <c r="C2" s="69"/>
      <c r="D2" s="69"/>
      <c r="E2" s="69"/>
      <c r="F2" s="69"/>
    </row>
    <row r="3" spans="2:6" s="70" customFormat="1" ht="10.35" customHeight="1" x14ac:dyDescent="0.25">
      <c r="B3" s="69"/>
      <c r="C3" s="69"/>
      <c r="D3" s="69"/>
      <c r="E3" s="69"/>
      <c r="F3" s="69"/>
    </row>
    <row r="4" spans="2:6" s="70" customFormat="1" ht="10.35" customHeight="1" x14ac:dyDescent="0.25">
      <c r="B4" s="69"/>
      <c r="C4" s="69"/>
      <c r="D4" s="69"/>
      <c r="E4" s="69"/>
      <c r="F4" s="69"/>
    </row>
    <row r="5" spans="2:6" x14ac:dyDescent="0.25">
      <c r="B5" s="71"/>
      <c r="C5" s="216"/>
      <c r="D5" s="216"/>
      <c r="E5" s="216"/>
      <c r="F5" s="216"/>
    </row>
  </sheetData>
  <sheetProtection algorithmName="SHA-512" hashValue="1LpUJLNAS0VK8CJnNNbUNXbHw4bfW7/dbI2pAvQjYAIoUJoBaAe4x+eXc8zR5HfTZrUYvqOjxUZr8oeueOerSg==" saltValue="YSLJqHjxrSc+k37JjsaPlQ==" spinCount="100000" sheet="1" objects="1" scenarios="1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89765-D362-4CC5-81E1-0AA58A35CE13}">
  <sheetPr codeName="Sheet5"/>
  <dimension ref="A1:R63"/>
  <sheetViews>
    <sheetView showGridLines="0" showRowColHeaders="0" zoomScale="80" zoomScaleNormal="80" workbookViewId="0">
      <selection activeCell="C33" sqref="C33"/>
    </sheetView>
  </sheetViews>
  <sheetFormatPr defaultColWidth="9.140625" defaultRowHeight="15" x14ac:dyDescent="0.25"/>
  <cols>
    <col min="1" max="1" width="9.140625" style="9"/>
    <col min="2" max="2" width="29.7109375" style="9" bestFit="1" customWidth="1"/>
    <col min="3" max="6" width="14" style="9" customWidth="1"/>
    <col min="7" max="10" width="13" style="9" customWidth="1"/>
    <col min="11" max="14" width="9.140625" style="9" hidden="1" customWidth="1"/>
    <col min="15" max="16" width="16.85546875" style="9" hidden="1" customWidth="1"/>
    <col min="17" max="17" width="9.140625" style="9" customWidth="1"/>
    <col min="18" max="16384" width="9.140625" style="9"/>
  </cols>
  <sheetData>
    <row r="1" spans="2:15" s="7" customFormat="1" ht="122.1" customHeight="1" x14ac:dyDescent="0.25">
      <c r="C1" s="8"/>
      <c r="D1" s="8"/>
      <c r="E1" s="8"/>
      <c r="F1" s="8"/>
      <c r="G1" s="8"/>
    </row>
    <row r="2" spans="2:15" s="7" customFormat="1" ht="15" customHeight="1" thickBot="1" x14ac:dyDescent="0.3">
      <c r="B2" s="47" t="s">
        <v>133</v>
      </c>
      <c r="C2" s="45"/>
      <c r="D2" s="45"/>
      <c r="E2" s="45"/>
      <c r="F2" s="45"/>
      <c r="G2" s="45"/>
      <c r="H2" s="46"/>
      <c r="I2" s="46"/>
      <c r="J2" s="46"/>
    </row>
    <row r="3" spans="2:15" s="7" customFormat="1" ht="15" customHeight="1" x14ac:dyDescent="0.25">
      <c r="B3" s="72"/>
      <c r="C3" s="76" t="s">
        <v>134</v>
      </c>
      <c r="D3" s="73"/>
      <c r="E3" s="73"/>
      <c r="F3" s="73"/>
      <c r="G3" s="73"/>
      <c r="H3" s="74"/>
      <c r="I3" s="74"/>
      <c r="J3" s="74"/>
    </row>
    <row r="4" spans="2:15" s="7" customFormat="1" ht="15" hidden="1" customHeight="1" x14ac:dyDescent="0.25">
      <c r="B4" s="54" t="s">
        <v>23</v>
      </c>
      <c r="C4" s="220" t="s">
        <v>132</v>
      </c>
      <c r="D4" s="73"/>
      <c r="E4" s="73"/>
      <c r="F4" s="73"/>
      <c r="G4" s="73"/>
      <c r="H4" s="74"/>
      <c r="I4" s="74"/>
      <c r="J4" s="74"/>
    </row>
    <row r="5" spans="2:15" ht="14.25" customHeight="1" x14ac:dyDescent="0.35">
      <c r="B5" s="54" t="s">
        <v>135</v>
      </c>
      <c r="C5" s="150">
        <v>21</v>
      </c>
      <c r="D5" s="10"/>
      <c r="E5" s="10"/>
      <c r="F5" s="10"/>
      <c r="G5" s="15"/>
      <c r="H5" s="16"/>
      <c r="I5" s="15"/>
      <c r="J5" s="15"/>
      <c r="N5" s="10"/>
      <c r="O5" s="10"/>
    </row>
    <row r="6" spans="2:15" ht="14.25" hidden="1" customHeight="1" x14ac:dyDescent="0.35">
      <c r="B6" s="54" t="s">
        <v>25</v>
      </c>
      <c r="C6" s="178" t="s">
        <v>26</v>
      </c>
      <c r="D6" s="10"/>
      <c r="E6" s="10"/>
      <c r="F6" s="10"/>
      <c r="G6" s="15"/>
      <c r="H6" s="16"/>
      <c r="I6" s="15"/>
      <c r="J6" s="15"/>
      <c r="N6" s="10"/>
      <c r="O6" s="10"/>
    </row>
    <row r="7" spans="2:15" ht="14.25" hidden="1" customHeight="1" x14ac:dyDescent="0.35">
      <c r="B7" s="54" t="s">
        <v>27</v>
      </c>
      <c r="C7" s="178">
        <v>0.12</v>
      </c>
      <c r="D7" s="10"/>
      <c r="E7" s="10"/>
      <c r="F7" s="10"/>
      <c r="G7" s="15"/>
      <c r="H7" s="16"/>
      <c r="I7" s="15"/>
      <c r="J7" s="15"/>
      <c r="N7" s="10"/>
      <c r="O7" s="10"/>
    </row>
    <row r="8" spans="2:15" ht="14.25" hidden="1" customHeight="1" x14ac:dyDescent="0.35">
      <c r="B8" s="54" t="str">
        <f>IF($C$6="Live",IF($C$4="Imperial","Live pig price, $/lb","Live pig price, $/kg"),IF($C$4="Imperial","Carcass price, $/lb","Carcass price, $/kg"))</f>
        <v>Carcass price, $/kg</v>
      </c>
      <c r="C8" s="178">
        <v>0.56000000000000005</v>
      </c>
      <c r="D8" s="10"/>
      <c r="E8" s="10"/>
      <c r="F8" s="10"/>
      <c r="G8" s="15"/>
      <c r="H8" s="16"/>
      <c r="I8" s="15"/>
      <c r="J8" s="15"/>
      <c r="N8" s="10"/>
      <c r="O8" s="10"/>
    </row>
    <row r="9" spans="2:15" ht="14.25" hidden="1" customHeight="1" x14ac:dyDescent="0.35">
      <c r="B9" s="54" t="str">
        <f>IF(C6="Carcass", "Current carcass yield, %","")</f>
        <v>Current carcass yield, %</v>
      </c>
      <c r="C9" s="177">
        <v>75</v>
      </c>
      <c r="D9" s="10"/>
      <c r="E9" s="10"/>
      <c r="F9" s="10"/>
      <c r="G9" s="15"/>
      <c r="H9" s="16"/>
      <c r="I9" s="15"/>
      <c r="J9" s="15"/>
      <c r="N9" s="10"/>
      <c r="O9" s="10"/>
    </row>
    <row r="10" spans="2:15" s="7" customFormat="1" ht="13.5" hidden="1" customHeight="1" x14ac:dyDescent="0.25">
      <c r="D10" s="8"/>
      <c r="E10" s="8"/>
      <c r="F10" s="8"/>
      <c r="G10" s="8"/>
    </row>
    <row r="11" spans="2:15" s="7" customFormat="1" ht="14.1" hidden="1" customHeight="1" x14ac:dyDescent="0.35">
      <c r="C11" s="239" t="s">
        <v>28</v>
      </c>
      <c r="D11" s="239"/>
      <c r="E11" s="239"/>
      <c r="F11" s="239"/>
      <c r="G11" s="15"/>
      <c r="H11" s="16"/>
      <c r="I11" s="15"/>
    </row>
    <row r="12" spans="2:15" s="7" customFormat="1" ht="15" hidden="1" customHeight="1" x14ac:dyDescent="0.35">
      <c r="C12" s="183" t="s">
        <v>22</v>
      </c>
      <c r="D12" s="183" t="s">
        <v>13</v>
      </c>
      <c r="E12" s="183" t="s">
        <v>14</v>
      </c>
      <c r="F12" s="183" t="s">
        <v>29</v>
      </c>
      <c r="G12" s="15"/>
      <c r="H12" s="16"/>
      <c r="I12" s="15"/>
      <c r="J12" s="75"/>
      <c r="M12" s="76" t="s">
        <v>13</v>
      </c>
      <c r="N12" s="76" t="s">
        <v>14</v>
      </c>
      <c r="O12" s="76" t="s">
        <v>29</v>
      </c>
    </row>
    <row r="13" spans="2:15" ht="14.25" customHeight="1" x14ac:dyDescent="0.35">
      <c r="B13" s="53" t="s">
        <v>136</v>
      </c>
      <c r="C13" s="150">
        <v>800</v>
      </c>
      <c r="D13" s="210">
        <f>IF($C$4="Metric",'Adj-Barrows'!$B$6,('Adj-Barrows'!$B$6*2.204622/1000))</f>
        <v>1.7797024944496496</v>
      </c>
      <c r="E13" s="210">
        <f>IF($C$4="Metric",'Adj-Gilts'!$B$6,('Adj-Gilts'!$B$6*2.204622/1000))</f>
        <v>1.7476927055503524</v>
      </c>
      <c r="F13" s="210">
        <f>AVERAGE(D13:E13)</f>
        <v>1.7636976000000009</v>
      </c>
      <c r="G13" s="15"/>
      <c r="H13" s="16"/>
      <c r="I13" s="15"/>
      <c r="J13" s="15"/>
      <c r="M13" s="179">
        <f>'Adj-Barrows'!B6*2.204622/1000</f>
        <v>1.7797024944496496</v>
      </c>
      <c r="N13" s="179">
        <f>'Adj-Gilts'!B6*2.204622/1000</f>
        <v>1.7476927055503524</v>
      </c>
      <c r="O13" s="179">
        <f>AVERAGE(M13:N13)</f>
        <v>1.7636976000000009</v>
      </c>
    </row>
    <row r="14" spans="2:15" ht="14.25" customHeight="1" x14ac:dyDescent="0.35">
      <c r="B14" s="53" t="s">
        <v>137</v>
      </c>
      <c r="C14" s="149">
        <v>2.4</v>
      </c>
      <c r="D14" s="210">
        <f>'Adj-Barrows'!$B$8</f>
        <v>2.4045555789377251</v>
      </c>
      <c r="E14" s="210">
        <f>'Adj-Gilts'!$B$8</f>
        <v>2.3953609835565546</v>
      </c>
      <c r="F14" s="210">
        <f>AVERAGE(D14:E14)</f>
        <v>2.3999582812471401</v>
      </c>
      <c r="G14" s="15"/>
      <c r="H14" s="16"/>
      <c r="I14" s="17"/>
      <c r="J14" s="15"/>
      <c r="M14" s="179">
        <f>'Adj-Barrows'!B8</f>
        <v>2.4045555789377251</v>
      </c>
      <c r="N14" s="179">
        <f>'Adj-Gilts'!B8</f>
        <v>2.3953609835565546</v>
      </c>
      <c r="O14" s="179">
        <f>AVERAGE(M14:N14)</f>
        <v>2.3999582812471401</v>
      </c>
    </row>
    <row r="15" spans="2:15" ht="14.25" hidden="1" customHeight="1" x14ac:dyDescent="0.35">
      <c r="B15" s="53" t="s">
        <v>31</v>
      </c>
      <c r="C15" s="180">
        <f>'Adj-Mixed'!B33</f>
        <v>6.4799999999999995</v>
      </c>
      <c r="D15" s="209">
        <f>'Adj-Mixed'!C33</f>
        <v>6.4799999999999995</v>
      </c>
      <c r="E15" s="209">
        <f>'Adj-Mixed'!D33</f>
        <v>6.4799999999999995</v>
      </c>
      <c r="F15" s="209">
        <f>AVERAGE(D15:E15)</f>
        <v>6.4799999999999995</v>
      </c>
      <c r="G15" s="15"/>
      <c r="H15" s="16"/>
      <c r="I15" s="17"/>
      <c r="J15" s="15"/>
      <c r="N15" s="10"/>
      <c r="O15" s="10"/>
    </row>
    <row r="16" spans="2:15" ht="14.25" hidden="1" customHeight="1" x14ac:dyDescent="0.35">
      <c r="B16" s="53" t="s">
        <v>32</v>
      </c>
      <c r="C16" s="180">
        <f>'Adj-Mixed'!B34</f>
        <v>23.1</v>
      </c>
      <c r="D16" s="179">
        <f>'Adj-Mixed'!C34</f>
        <v>23.098187798093964</v>
      </c>
      <c r="E16" s="179">
        <f>'Adj-Mixed'!D34</f>
        <v>22.849951581069579</v>
      </c>
      <c r="F16" s="179">
        <f t="shared" ref="F16" si="0">AVERAGE(D16:E16)</f>
        <v>22.974069689581771</v>
      </c>
      <c r="G16" s="15"/>
      <c r="H16" s="16"/>
      <c r="I16" s="17"/>
      <c r="J16" s="15"/>
      <c r="N16" s="10"/>
      <c r="O16" s="10"/>
    </row>
    <row r="17" spans="2:16" ht="14.25" hidden="1" customHeight="1" x14ac:dyDescent="0.35">
      <c r="B17" s="53" t="s">
        <v>33</v>
      </c>
      <c r="C17" s="181">
        <f>'Adj-Mixed'!B35</f>
        <v>23.1</v>
      </c>
      <c r="D17" s="181">
        <f>'Adj-Mixed'!C35</f>
        <v>23.098187798093964</v>
      </c>
      <c r="E17" s="181">
        <f>'Adj-Mixed'!D35</f>
        <v>22.849951581069579</v>
      </c>
      <c r="F17" s="179">
        <f>AVERAGE(D17:E17)</f>
        <v>22.974069689581771</v>
      </c>
      <c r="G17" s="15"/>
      <c r="H17" s="16"/>
      <c r="I17" s="17"/>
      <c r="J17" s="15"/>
      <c r="N17" s="10"/>
      <c r="O17" s="10"/>
    </row>
    <row r="18" spans="2:16" ht="14.25" hidden="1" customHeight="1" x14ac:dyDescent="0.35">
      <c r="B18" s="53" t="s">
        <v>34</v>
      </c>
      <c r="C18" s="181">
        <f>'Adj-Mixed'!B36</f>
        <v>16.62</v>
      </c>
      <c r="D18" s="181">
        <f>'Adj-Mixed'!C36</f>
        <v>16.618187798093963</v>
      </c>
      <c r="E18" s="181">
        <f>'Adj-Mixed'!D36</f>
        <v>16.369951581069579</v>
      </c>
      <c r="F18" s="179">
        <f>AVERAGE(D18:E18)</f>
        <v>16.494069689581771</v>
      </c>
      <c r="G18" s="15"/>
      <c r="H18" s="16"/>
      <c r="I18" s="17"/>
      <c r="J18" s="15"/>
      <c r="N18" s="10"/>
      <c r="O18" s="10"/>
    </row>
    <row r="19" spans="2:16" s="7" customFormat="1" ht="13.5" customHeight="1" x14ac:dyDescent="0.25">
      <c r="D19" s="8"/>
      <c r="E19" s="8"/>
      <c r="F19" s="8"/>
      <c r="G19" s="8"/>
    </row>
    <row r="20" spans="2:16" s="7" customFormat="1" ht="13.5" customHeight="1" x14ac:dyDescent="0.25">
      <c r="B20" s="42" t="s">
        <v>134</v>
      </c>
      <c r="D20" s="8"/>
      <c r="E20" s="8"/>
      <c r="F20" s="8"/>
      <c r="G20" s="8"/>
      <c r="O20" s="7" t="s">
        <v>24</v>
      </c>
      <c r="P20" s="75">
        <f>IF($C$4=$O$20,1,2)</f>
        <v>2</v>
      </c>
    </row>
    <row r="21" spans="2:16" x14ac:dyDescent="0.25">
      <c r="B21" s="44" t="s">
        <v>138</v>
      </c>
      <c r="C21" s="148">
        <v>3200</v>
      </c>
      <c r="D21" s="148">
        <v>3200</v>
      </c>
      <c r="E21" s="148">
        <v>3200</v>
      </c>
      <c r="F21" s="148"/>
      <c r="G21" s="148"/>
      <c r="H21" s="148"/>
      <c r="I21" s="148"/>
      <c r="J21" s="148"/>
      <c r="O21" s="9" t="s">
        <v>36</v>
      </c>
    </row>
    <row r="22" spans="2:16" hidden="1" x14ac:dyDescent="0.25">
      <c r="B22" s="44" t="s">
        <v>37</v>
      </c>
      <c r="C22" s="211"/>
      <c r="D22" s="211"/>
      <c r="E22" s="211"/>
      <c r="F22" s="211"/>
      <c r="G22" s="211"/>
      <c r="H22" s="211"/>
      <c r="I22" s="211"/>
      <c r="J22" s="211"/>
      <c r="M22" s="32"/>
      <c r="N22" s="32"/>
      <c r="O22" s="32"/>
    </row>
    <row r="23" spans="2:16" x14ac:dyDescent="0.25">
      <c r="B23" s="44" t="s">
        <v>139</v>
      </c>
      <c r="C23" s="175">
        <v>12</v>
      </c>
      <c r="D23" s="175">
        <v>18</v>
      </c>
      <c r="E23" s="175">
        <v>25</v>
      </c>
      <c r="F23" s="175"/>
      <c r="G23" s="175"/>
      <c r="H23" s="175"/>
      <c r="I23" s="175"/>
      <c r="J23" s="175"/>
    </row>
    <row r="24" spans="2:16" x14ac:dyDescent="0.25">
      <c r="B24" s="44" t="s">
        <v>140</v>
      </c>
      <c r="C24" s="175">
        <v>18</v>
      </c>
      <c r="D24" s="175">
        <v>25</v>
      </c>
      <c r="E24" s="175">
        <v>55</v>
      </c>
      <c r="F24" s="175"/>
      <c r="G24" s="175"/>
      <c r="H24" s="175"/>
      <c r="I24" s="175"/>
      <c r="J24" s="175"/>
      <c r="O24" s="78"/>
    </row>
    <row r="25" spans="2:16" hidden="1" x14ac:dyDescent="0.25">
      <c r="B25" s="9" t="s">
        <v>38</v>
      </c>
      <c r="C25" s="13">
        <f>IFERROR('I-Mixed'!C27,"")</f>
        <v>3.9675364926715515</v>
      </c>
      <c r="D25" s="13">
        <f>IFERROR('I-Mixed'!D27,"")</f>
        <v>3.7752090480307121</v>
      </c>
      <c r="E25" s="13">
        <f>IFERROR('I-Mixed'!E27,"")</f>
        <v>3.2728183744077457</v>
      </c>
      <c r="F25" s="13" t="str">
        <f>IFERROR('I-Mixed'!F27,"")</f>
        <v/>
      </c>
      <c r="G25" s="13" t="str">
        <f>IFERROR('I-Mixed'!G27,"")</f>
        <v/>
      </c>
      <c r="H25" s="13" t="str">
        <f>IFERROR('I-Mixed'!H27,"")</f>
        <v/>
      </c>
      <c r="I25" s="13" t="str">
        <f>IFERROR('I-Mixed'!I27,"")</f>
        <v/>
      </c>
      <c r="J25" s="13" t="str">
        <f>IFERROR('I-Mixed'!J27,"")</f>
        <v/>
      </c>
    </row>
    <row r="26" spans="2:16" hidden="1" x14ac:dyDescent="0.25">
      <c r="B26" s="9" t="s">
        <v>39</v>
      </c>
      <c r="C26" s="13">
        <f>IFERROR('I-Mixed'!C28,"")</f>
        <v>3.9675364926715515</v>
      </c>
      <c r="D26" s="13">
        <f>IFERROR('I-Mixed'!D28,"")</f>
        <v>3.7752090480307121</v>
      </c>
      <c r="E26" s="13">
        <f>IFERROR('I-Mixed'!E28,"")</f>
        <v>3.2728183744077457</v>
      </c>
      <c r="F26" s="13" t="str">
        <f>IFERROR('I-Mixed'!F28,"")</f>
        <v/>
      </c>
      <c r="G26" s="13" t="str">
        <f>IFERROR('I-Mixed'!G28,"")</f>
        <v/>
      </c>
      <c r="H26" s="13" t="str">
        <f>IFERROR('I-Mixed'!H28,"")</f>
        <v/>
      </c>
      <c r="I26" s="13" t="str">
        <f>IFERROR('I-Mixed'!I28,"")</f>
        <v/>
      </c>
      <c r="J26" s="13" t="str">
        <f>IFERROR('I-Mixed'!J28,"")</f>
        <v/>
      </c>
    </row>
    <row r="27" spans="2:16" hidden="1" x14ac:dyDescent="0.25">
      <c r="B27" s="9" t="s">
        <v>40</v>
      </c>
      <c r="C27" s="13">
        <f>IFERROR('I-Mixed'!C29,"")</f>
        <v>5.4078113750302848</v>
      </c>
      <c r="D27" s="13">
        <f>IFERROR('I-Mixed'!D29,"")</f>
        <v>5.1982386693136258</v>
      </c>
      <c r="E27" s="13">
        <f>IFERROR('I-Mixed'!E29,"")</f>
        <v>4.640150863967123</v>
      </c>
      <c r="F27" s="13" t="str">
        <f>IFERROR('I-Mixed'!F29,"")</f>
        <v xml:space="preserve"> </v>
      </c>
      <c r="G27" s="13" t="str">
        <f>IFERROR('I-Mixed'!G29,"")</f>
        <v xml:space="preserve"> </v>
      </c>
      <c r="H27" s="13" t="str">
        <f>IFERROR('I-Mixed'!H29,"")</f>
        <v xml:space="preserve"> </v>
      </c>
      <c r="I27" s="13" t="str">
        <f>IFERROR('I-Mixed'!I29,"")</f>
        <v xml:space="preserve"> </v>
      </c>
      <c r="J27" s="13" t="str">
        <f>IFERROR('I-Mixed'!J29,"")</f>
        <v xml:space="preserve"> </v>
      </c>
    </row>
    <row r="28" spans="2:16" x14ac:dyDescent="0.25">
      <c r="B28" s="44" t="s">
        <v>141</v>
      </c>
      <c r="C28" s="13">
        <f>IFERROR((IF(C21&gt;0,IF(C24&lt;$B$60,((C33*10)/(IF($C$4=$O$20,(C21*2.204622/1000),C21/1000))),'I-Mixed'!C30),""))*0.97,"")</f>
        <v>3.8485103978914048</v>
      </c>
      <c r="D28" s="13">
        <f>IFERROR((IF(D21&gt;0,IF(D24&lt;$B$60,((D33*10)/(IF($C$4=$O$20,(D21*2.204622/1000),D21/1000))),'I-Mixed'!D30),""))*0.97,"")</f>
        <v>3.6619527765897906</v>
      </c>
      <c r="E28" s="13">
        <f>IFERROR((IF(E21&gt;0,IF(E24&lt;$B$60,((E33*10)/(IF($C$4=$O$20,(E21*2.204622/1000),E21/1000))),'I-Mixed'!E30),""))*0.97,"")</f>
        <v>3.1746338231755131</v>
      </c>
      <c r="F28" s="13" t="str">
        <f>IFERROR((IF(F21&gt;0,IF(F24&lt;$B$60,((F33*10)/(IF($C$4=$O$20,(F21*2.204622/1000),F21/1000))),'I-Mixed'!F30),""))*0.97,"")</f>
        <v/>
      </c>
      <c r="G28" s="13" t="str">
        <f>IFERROR((IF(G21&gt;0,IF(G24&lt;$B$60,((G33*10)/(IF($C$4=$O$20,(G21*2.204622/1000),G21/1000))),'I-Mixed'!G30),""))*0.97,"")</f>
        <v/>
      </c>
      <c r="H28" s="13" t="str">
        <f>IFERROR((IF(H21&gt;0,IF(H24&lt;$B$60,((H33*10)/(IF($C$4=$O$20,(H21*2.204622/1000),H21/1000))),'I-Mixed'!H30),""))*0.97,"")</f>
        <v/>
      </c>
      <c r="I28" s="13" t="str">
        <f>IFERROR((IF(I21&gt;0,IF(I24&lt;$B$60,((I33*10)/(IF($C$4=$O$20,(I21*2.204622/1000),I21/1000))),'I-Mixed'!I30),""))*0.97,"")</f>
        <v/>
      </c>
      <c r="J28" s="13" t="str">
        <f>IFERROR((IF(J21&gt;0,IF(J24&lt;$B$60,((J33*10)/(IF($C$4=$O$20,(J21*2.204622/1000),J21/1000))),'I-Mixed'!J30),""))*0.97,"")</f>
        <v/>
      </c>
    </row>
    <row r="29" spans="2:16" hidden="1" x14ac:dyDescent="0.25">
      <c r="B29" s="44" t="s">
        <v>41</v>
      </c>
      <c r="C29" s="13">
        <f>IFERROR('I-Mixed'!C31,"")</f>
        <v>3.4471420059329261</v>
      </c>
      <c r="D29" s="13">
        <f>IFERROR('I-Mixed'!D31,"")</f>
        <v>3.2993158848987649</v>
      </c>
      <c r="E29" s="13">
        <f>IFERROR('I-Mixed'!E31,"")</f>
        <v>3.1211902907225815</v>
      </c>
      <c r="F29" s="13" t="str">
        <f>IFERROR('I-Mixed'!F31,"")</f>
        <v xml:space="preserve"> </v>
      </c>
      <c r="G29" s="13" t="str">
        <f>IFERROR('I-Mixed'!G31,"")</f>
        <v xml:space="preserve"> </v>
      </c>
      <c r="H29" s="13" t="str">
        <f>IFERROR('I-Mixed'!H31,"")</f>
        <v xml:space="preserve"> </v>
      </c>
      <c r="I29" s="13" t="str">
        <f>IFERROR('I-Mixed'!I31,"")</f>
        <v xml:space="preserve"> </v>
      </c>
      <c r="J29" s="13" t="str">
        <f>IFERROR('I-Mixed'!J31,"")</f>
        <v xml:space="preserve"> </v>
      </c>
    </row>
    <row r="30" spans="2:16" hidden="1" x14ac:dyDescent="0.25">
      <c r="B30" s="44" t="s">
        <v>42</v>
      </c>
      <c r="C30" s="13">
        <f>IFERROR('I-Mixed'!C32,"")</f>
        <v>3.9675364926715515</v>
      </c>
      <c r="D30" s="13">
        <f>IFERROR('I-Mixed'!D32,"")</f>
        <v>3.7752090480307121</v>
      </c>
      <c r="E30" s="13">
        <f>IFERROR('I-Mixed'!E32,"")</f>
        <v>3.2728183744077457</v>
      </c>
      <c r="F30" s="13" t="str">
        <f>IFERROR('I-Mixed'!F32,"")</f>
        <v xml:space="preserve"> </v>
      </c>
      <c r="G30" s="13" t="str">
        <f>IFERROR('I-Mixed'!G32,"")</f>
        <v xml:space="preserve"> </v>
      </c>
      <c r="H30" s="13" t="str">
        <f>IFERROR('I-Mixed'!H32,"")</f>
        <v xml:space="preserve"> </v>
      </c>
      <c r="I30" s="13" t="str">
        <f>IFERROR('I-Mixed'!I32,"")</f>
        <v xml:space="preserve"> </v>
      </c>
      <c r="J30" s="13" t="str">
        <f>IFERROR('I-Mixed'!J32,"")</f>
        <v xml:space="preserve"> </v>
      </c>
    </row>
    <row r="31" spans="2:16" hidden="1" x14ac:dyDescent="0.25">
      <c r="B31" s="44" t="str">
        <f>B25</f>
        <v xml:space="preserve">   Barrows</v>
      </c>
      <c r="C31" s="13">
        <f>IFERROR('I-Mixed'!C35,"")</f>
        <v>1.2696116776548965</v>
      </c>
      <c r="D31" s="13">
        <f>IFERROR('I-Mixed'!D35,"")</f>
        <v>1.2080668953698279</v>
      </c>
      <c r="E31" s="13">
        <f>IFERROR('I-Mixed'!E35,"")</f>
        <v>1.0473018798104785</v>
      </c>
      <c r="F31" s="13" t="str">
        <f>IFERROR('I-Mixed'!F35,"")</f>
        <v/>
      </c>
      <c r="G31" s="13" t="str">
        <f>IFERROR('I-Mixed'!G35,"")</f>
        <v/>
      </c>
      <c r="H31" s="13" t="str">
        <f>IFERROR('I-Mixed'!H35,"")</f>
        <v/>
      </c>
      <c r="I31" s="13" t="str">
        <f>IFERROR('I-Mixed'!I35,"")</f>
        <v/>
      </c>
      <c r="J31" s="13" t="str">
        <f>IFERROR('I-Mixed'!J35,"")</f>
        <v/>
      </c>
    </row>
    <row r="32" spans="2:16" hidden="1" x14ac:dyDescent="0.25">
      <c r="B32" s="44" t="str">
        <f>B26</f>
        <v xml:space="preserve">   Gilts</v>
      </c>
      <c r="C32" s="13">
        <f>IFERROR('I-Mixed'!C36,"")</f>
        <v>1.2696116776548965</v>
      </c>
      <c r="D32" s="13">
        <f>IFERROR('I-Mixed'!D36,"")</f>
        <v>1.2080668953698279</v>
      </c>
      <c r="E32" s="13">
        <f>IFERROR('I-Mixed'!E36,"")</f>
        <v>1.0473018798104785</v>
      </c>
      <c r="F32" s="13" t="str">
        <f>IFERROR('I-Mixed'!F36,"")</f>
        <v/>
      </c>
      <c r="G32" s="13" t="str">
        <f>IFERROR('I-Mixed'!G36,"")</f>
        <v/>
      </c>
      <c r="H32" s="13" t="str">
        <f>IFERROR('I-Mixed'!H36,"")</f>
        <v/>
      </c>
      <c r="I32" s="13" t="str">
        <f>IFERROR('I-Mixed'!I36,"")</f>
        <v/>
      </c>
      <c r="J32" s="13" t="str">
        <f>IFERROR('I-Mixed'!J36,"")</f>
        <v/>
      </c>
    </row>
    <row r="33" spans="1:18" x14ac:dyDescent="0.25">
      <c r="B33" s="44" t="s">
        <v>142</v>
      </c>
      <c r="C33" s="13">
        <f t="shared" ref="C33:J33" si="1">IF(C21&gt;0,IF(C24&lt;$B$62,1.46,IF(AND(C24&gt;$B$63,C24&lt;$B$61),1.42,IF($C$4=$O$20,(C28*(C21/1000*2.2046222)/10),(C28*(C21/1000)/10)))),"")</f>
        <v>1.2315233273252495</v>
      </c>
      <c r="D33" s="13">
        <f t="shared" si="1"/>
        <v>1.171824888508733</v>
      </c>
      <c r="E33" s="13">
        <f t="shared" si="1"/>
        <v>1.0158828234161643</v>
      </c>
      <c r="F33" s="13" t="str">
        <f t="shared" si="1"/>
        <v/>
      </c>
      <c r="G33" s="13" t="str">
        <f t="shared" si="1"/>
        <v/>
      </c>
      <c r="H33" s="13" t="str">
        <f t="shared" si="1"/>
        <v/>
      </c>
      <c r="I33" s="13" t="str">
        <f t="shared" si="1"/>
        <v/>
      </c>
      <c r="J33" s="13" t="str">
        <f t="shared" si="1"/>
        <v/>
      </c>
    </row>
    <row r="34" spans="1:18" x14ac:dyDescent="0.25">
      <c r="B34" s="44" t="s">
        <v>143</v>
      </c>
      <c r="C34" s="33">
        <f>IFERROR(IF($C$4=$O$20,'I-Mixed'!C12*2.204622,'I-Mixed'!C12),"")</f>
        <v>10.230322047769254</v>
      </c>
      <c r="D34" s="33">
        <f>IFERROR(IF($C$4=$O$20,'I-Mixed'!D12*2.204622,'I-Mixed'!D12),"")</f>
        <v>14.907741572496564</v>
      </c>
      <c r="E34" s="33">
        <f>IFERROR(IF($C$4=$O$20,'I-Mixed'!E12*2.204622,'I-Mixed'!E12),"")</f>
        <v>78.061936379734192</v>
      </c>
      <c r="F34" s="33" t="str">
        <f>IFERROR(IF($C$4=$O$20,'I-Mixed'!F12*2.204622,'I-Mixed'!F12),"")</f>
        <v xml:space="preserve"> </v>
      </c>
      <c r="G34" s="33" t="str">
        <f>IFERROR(IF($C$4=$O$20,'I-Mixed'!G12*2.204622,'I-Mixed'!G12),"")</f>
        <v xml:space="preserve"> </v>
      </c>
      <c r="H34" s="33" t="str">
        <f>IFERROR(IF($C$4=$O$20,'I-Mixed'!H12*2.204622,'I-Mixed'!H12),"")</f>
        <v xml:space="preserve"> </v>
      </c>
      <c r="I34" s="33" t="str">
        <f>IFERROR(IF($C$4=$O$20,'I-Mixed'!I12*2.204622,'I-Mixed'!I12),"")</f>
        <v xml:space="preserve"> </v>
      </c>
      <c r="J34" s="33" t="str">
        <f>IFERROR(IF($C$4=$O$20,'I-Mixed'!J12*2.204622,'I-Mixed'!J12),"")</f>
        <v xml:space="preserve"> </v>
      </c>
    </row>
    <row r="35" spans="1:18" x14ac:dyDescent="0.25">
      <c r="A35" s="9" t="s">
        <v>43</v>
      </c>
      <c r="B35" s="44" t="s">
        <v>144</v>
      </c>
      <c r="C35" s="11">
        <f>IFERROR('I-Mixed'!C15,"")</f>
        <v>15</v>
      </c>
      <c r="D35" s="11">
        <f>IFERROR('I-Mixed'!D15,"")</f>
        <v>10</v>
      </c>
      <c r="E35" s="11">
        <f>IFERROR('I-Mixed'!E15,"")</f>
        <v>29</v>
      </c>
      <c r="F35" s="11" t="str">
        <f>IFERROR('I-Mixed'!F15,"")</f>
        <v/>
      </c>
      <c r="G35" s="11" t="str">
        <f>IFERROR('I-Mixed'!G15,"")</f>
        <v/>
      </c>
      <c r="H35" s="11" t="str">
        <f>IFERROR('I-Mixed'!H15,"")</f>
        <v/>
      </c>
      <c r="I35" s="11" t="str">
        <f>IFERROR('I-Mixed'!I15,"")</f>
        <v/>
      </c>
      <c r="J35" s="11" t="str">
        <f>IFERROR('I-Mixed'!J15,"")</f>
        <v/>
      </c>
      <c r="N35" s="31"/>
      <c r="O35" s="31"/>
      <c r="P35" s="31"/>
      <c r="Q35" s="40"/>
      <c r="R35" s="32"/>
    </row>
    <row r="36" spans="1:18" hidden="1" x14ac:dyDescent="0.25">
      <c r="B36" s="42" t="s">
        <v>13</v>
      </c>
      <c r="C36" s="43"/>
      <c r="D36" s="43"/>
      <c r="E36" s="43"/>
      <c r="F36" s="43"/>
      <c r="G36" s="43"/>
      <c r="H36" s="43"/>
      <c r="I36" s="43"/>
      <c r="J36" s="43"/>
      <c r="M36" s="31"/>
      <c r="N36" s="31"/>
      <c r="O36" s="31"/>
      <c r="P36" s="31"/>
    </row>
    <row r="37" spans="1:18" hidden="1" x14ac:dyDescent="0.25">
      <c r="B37" s="44" t="str">
        <f>B23</f>
        <v>Входящий вес кг</v>
      </c>
      <c r="C37" s="182">
        <f>IFERROR(IF($C$4=$O$20,'I-Barrows'!C11,'I-Barrows'!C15),"")</f>
        <v>11.911087058338016</v>
      </c>
      <c r="D37" s="182">
        <f>IFERROR(IF($C$4=$O$20,'I-Barrows'!D11,'I-Barrows'!D15),"")</f>
        <v>17.671564722038159</v>
      </c>
      <c r="E37" s="182">
        <f>IFERROR(IF($C$4=$O$20,'I-Barrows'!E11,'I-Barrows'!E15),"")</f>
        <v>24.578626466817266</v>
      </c>
      <c r="F37" s="182" t="str">
        <f>IFERROR(IF($C$4=$O$20,'I-Barrows'!F11,'I-Barrows'!F15),"")</f>
        <v/>
      </c>
      <c r="G37" s="182" t="str">
        <f>IFERROR(IF($C$4=$O$20,'I-Barrows'!G11,'I-Barrows'!G15),"")</f>
        <v/>
      </c>
      <c r="H37" s="182" t="str">
        <f>IFERROR(IF($C$4=$O$20,'I-Barrows'!H11,'I-Barrows'!H15),"")</f>
        <v/>
      </c>
      <c r="I37" s="182" t="str">
        <f>IFERROR(IF($C$4=$O$20,'I-Barrows'!I11,'I-Barrows'!I15),"")</f>
        <v/>
      </c>
      <c r="J37" s="182" t="str">
        <f>IFERROR(IF($C$4=$O$20,'I-Barrows'!J11,'I-Barrows'!J15),"")</f>
        <v/>
      </c>
      <c r="M37" s="40"/>
      <c r="N37" s="31"/>
    </row>
    <row r="38" spans="1:18" hidden="1" x14ac:dyDescent="0.25">
      <c r="B38" s="44" t="str">
        <f>B24</f>
        <v>Вес выхода кг</v>
      </c>
      <c r="C38" s="182">
        <f>IFERROR(IF($C$4=$O$20,IF(D21&gt;0,'I-Barrows'!C12,'I-Barrows'!C12+'Adj-Mixed'!$K$4*2.204622),IF(D21&gt;0,'I-Barrows'!C16,'I-Barrows'!C16+'Adj-Mixed'!$K$4)),"")</f>
        <v>17.671564722038159</v>
      </c>
      <c r="D38" s="182">
        <f>IFERROR(IF($C$4=$O$20,IF(E21&gt;0,'I-Barrows'!D12,'I-Barrows'!D12+'Adj-Mixed'!$K$4*2.204622),IF(E21&gt;0,'I-Barrows'!D16,'I-Barrows'!D16+'Adj-Mixed'!$K$4)),"")</f>
        <v>24.578626466817266</v>
      </c>
      <c r="E38" s="182">
        <f>IFERROR(IF($C$4=$O$20,IF(F21&gt;0,'I-Barrows'!E12,'I-Barrows'!E12+'Adj-Mixed'!$K$4*2.204622),IF(F21&gt;0,'I-Barrows'!E16,'I-Barrows'!E16+'Adj-Mixed'!$K$4)),"")</f>
        <v>54.995685233557055</v>
      </c>
      <c r="F38" s="182" t="str">
        <f>IFERROR(IF($C$4=$O$20,IF(G21&gt;0,'I-Barrows'!F12,'I-Barrows'!F12+'Adj-Mixed'!$K$4*2.204622),IF(G21&gt;0,'I-Barrows'!F16,'I-Barrows'!F16+'Adj-Mixed'!$K$4)),"")</f>
        <v/>
      </c>
      <c r="G38" s="182" t="str">
        <f>IFERROR(IF($C$4=$O$20,IF(H21&gt;0,'I-Barrows'!G12,'I-Barrows'!G12+'Adj-Mixed'!$K$4*2.204622),IF(H21&gt;0,'I-Barrows'!G16,'I-Barrows'!G16+'Adj-Mixed'!$K$4)),"")</f>
        <v/>
      </c>
      <c r="H38" s="182" t="str">
        <f>IFERROR(IF($C$4=$O$20,IF(I21&gt;0,'I-Barrows'!H12,'I-Barrows'!H12+'Adj-Mixed'!$K$4*2.204622),IF(I21&gt;0,'I-Barrows'!H16,'I-Barrows'!H16+'Adj-Mixed'!$K$4)),"")</f>
        <v/>
      </c>
      <c r="I38" s="182" t="str">
        <f>IFERROR(IF($C$4=$O$20,IF(J21&gt;0,'I-Barrows'!I12,'I-Barrows'!I12+'Adj-Mixed'!$K$4*2.204622),IF(J21&gt;0,'I-Barrows'!I16,'I-Barrows'!I16+'Adj-Mixed'!$K$4)),"")</f>
        <v/>
      </c>
      <c r="J38" s="182" t="str">
        <f>IFERROR(IF($C$4=$O$20,IF(K21&gt;0,'I-Barrows'!J12,'I-Barrows'!J12+'Adj-Mixed'!$K$4*2.204622),IF(K21&gt;0,'I-Barrows'!J16,'I-Barrows'!J16+'Adj-Mixed'!$K$4)),"")</f>
        <v/>
      </c>
      <c r="N38" s="31"/>
      <c r="O38" s="176"/>
    </row>
    <row r="39" spans="1:18" hidden="1" x14ac:dyDescent="0.25">
      <c r="B39" s="44" t="str">
        <f>B34</f>
        <v>Кормовой бюджет кг/гол</v>
      </c>
      <c r="C39" s="33">
        <f>IFERROR(IF($C$4=$O$20,'I-Barrows'!C5*2.204622,'I-Barrows'!C5),"")</f>
        <v>10.19228078159021</v>
      </c>
      <c r="D39" s="33">
        <f>IFERROR(IF($C$4=$O$20,'I-Barrows'!D5*2.204622,'I-Barrows'!D5),"")</f>
        <v>14.85230740701871</v>
      </c>
      <c r="E39" s="33">
        <f>IFERROR(IF($C$4=$O$20,'I-Barrows'!E5*2.204622,'I-Barrows'!E5),"")</f>
        <v>77.833755028300544</v>
      </c>
      <c r="F39" s="33" t="str">
        <f>IFERROR(IF($C$4=$O$20,'I-Barrows'!F5*2.204622,'I-Barrows'!F5),"")</f>
        <v xml:space="preserve"> </v>
      </c>
      <c r="G39" s="33" t="str">
        <f>IFERROR(IF($C$4=$O$20,'I-Barrows'!G5*2.204622,'I-Barrows'!G5),"")</f>
        <v xml:space="preserve"> </v>
      </c>
      <c r="H39" s="33" t="str">
        <f>IFERROR(IF($C$4=$O$20,'I-Barrows'!H5*2.204622,'I-Barrows'!H5),"")</f>
        <v xml:space="preserve"> </v>
      </c>
      <c r="I39" s="33" t="str">
        <f>IFERROR(IF($C$4=$O$20,'I-Barrows'!I5*2.204622,'I-Barrows'!I5),"")</f>
        <v xml:space="preserve"> </v>
      </c>
      <c r="J39" s="33" t="str">
        <f>IFERROR(IF($C$4=$O$20,'I-Barrows'!J5*2.204622,'I-Barrows'!J5),"")</f>
        <v xml:space="preserve"> </v>
      </c>
      <c r="M39" s="31"/>
    </row>
    <row r="40" spans="1:18" hidden="1" x14ac:dyDescent="0.25">
      <c r="B40" s="44" t="s">
        <v>44</v>
      </c>
      <c r="C40" s="11">
        <f>IFERROR(IF(D21&gt;0,'I-Barrows'!C8,'I-Barrows'!C8+'Adj-Mixed'!$J$7),"")</f>
        <v>15</v>
      </c>
      <c r="D40" s="11">
        <f>IFERROR(IF(E21&gt;0,'I-Barrows'!D8,'I-Barrows'!D8+'Adj-Mixed'!$J$7),"")</f>
        <v>10</v>
      </c>
      <c r="E40" s="11">
        <f>IFERROR(IF(F21&gt;0,'I-Barrows'!E8,'I-Barrows'!E8+'Adj-Mixed'!$J$7),"")</f>
        <v>29</v>
      </c>
      <c r="F40" s="11" t="str">
        <f>IFERROR(IF(G21&gt;0,'I-Barrows'!F8,'I-Barrows'!F8+'Adj-Mixed'!$J$7),"")</f>
        <v/>
      </c>
      <c r="G40" s="11" t="str">
        <f>IFERROR(IF(H21&gt;0,'I-Barrows'!G8,'I-Barrows'!G8+'Adj-Mixed'!$J$7),"")</f>
        <v/>
      </c>
      <c r="H40" s="11" t="str">
        <f>IFERROR(IF(I21&gt;0,'I-Barrows'!H8,'I-Barrows'!H8+'Adj-Mixed'!$J$7),"")</f>
        <v/>
      </c>
      <c r="I40" s="11" t="str">
        <f>IFERROR(IF(J21&gt;0,'I-Barrows'!I8,'I-Barrows'!I8+'Adj-Mixed'!$J$7),"")</f>
        <v/>
      </c>
      <c r="J40" s="11" t="str">
        <f>IFERROR(IF(K21&gt;0,'I-Barrows'!J8,'I-Barrows'!J8+'Adj-Mixed'!$J$7),"")</f>
        <v/>
      </c>
      <c r="M40" s="78"/>
      <c r="O40" s="31"/>
      <c r="P40" s="131"/>
      <c r="Q40" s="40"/>
      <c r="R40" s="40"/>
    </row>
    <row r="41" spans="1:18" hidden="1" x14ac:dyDescent="0.25">
      <c r="B41" s="42" t="s">
        <v>14</v>
      </c>
      <c r="C41" s="43"/>
      <c r="D41" s="43"/>
      <c r="E41" s="43"/>
      <c r="F41" s="43"/>
      <c r="G41" s="43"/>
      <c r="H41" s="43"/>
      <c r="I41" s="43"/>
      <c r="J41" s="43"/>
      <c r="M41" s="31"/>
      <c r="O41" s="78"/>
    </row>
    <row r="42" spans="1:18" hidden="1" x14ac:dyDescent="0.25">
      <c r="B42" s="44" t="str">
        <f>B23</f>
        <v>Входящий вес кг</v>
      </c>
      <c r="C42" s="182">
        <f>IFERROR(IF($C$4=$O$20,'I-Gilts'!C11,'I-Gilts'!C3),"")</f>
        <v>12.089576651964517</v>
      </c>
      <c r="D42" s="182">
        <f>IFERROR(IF($C$4=$O$20,'I-Gilts'!D11,'I-Gilts'!D15),"")</f>
        <v>17.493075128411657</v>
      </c>
      <c r="E42" s="182">
        <f>IFERROR(IF($C$4=$O$20,'I-Gilts'!E11,'I-Gilts'!E15),"")</f>
        <v>24.757116060443767</v>
      </c>
      <c r="F42" s="182" t="str">
        <f>IFERROR(IF($C$4=$O$20,'I-Gilts'!F11,'I-Gilts'!F15),"")</f>
        <v/>
      </c>
      <c r="G42" s="182" t="str">
        <f>IFERROR(IF($C$4=$O$20,'I-Gilts'!G11,'I-Gilts'!G15),"")</f>
        <v/>
      </c>
      <c r="H42" s="182" t="str">
        <f>IFERROR(IF($C$4=$O$20,'I-Gilts'!H11,'I-Gilts'!H15),"")</f>
        <v/>
      </c>
      <c r="I42" s="182" t="str">
        <f>IFERROR(IF($C$4=$O$20,'I-Gilts'!I11,'I-Gilts'!I15),"")</f>
        <v/>
      </c>
      <c r="J42" s="182" t="str">
        <f>IFERROR(IF($C$4=$O$20,'I-Gilts'!J11,'I-Gilts'!J15),"")</f>
        <v/>
      </c>
      <c r="N42" s="78"/>
    </row>
    <row r="43" spans="1:18" hidden="1" x14ac:dyDescent="0.25">
      <c r="B43" s="44" t="str">
        <f>B24</f>
        <v>Вес выхода кг</v>
      </c>
      <c r="C43" s="182">
        <f>IFERROR(IF($C$4=$O$20,IF(D21&gt;0,'I-Gilts'!C12,'I-Gilts'!C12+'Adj-Mixed'!$K$4*2.204622),IF(D21&gt;0,'I-Gilts'!C16,'I-Gilts'!C16+'Adj-Mixed'!$K$4)),"")</f>
        <v>17.493075128411657</v>
      </c>
      <c r="D43" s="182">
        <f>IFERROR(IF($C$4=$O$20,IF(E21&gt;0,'I-Gilts'!D12,'I-Gilts'!D12+'Adj-Mixed'!$K$4*2.204622),IF(E21&gt;0,'I-Gilts'!D16,'I-Gilts'!D16+'Adj-Mixed'!$K$4)),"")</f>
        <v>24.757116060443767</v>
      </c>
      <c r="E43" s="182">
        <f>IFERROR(IF($C$4=$O$20,IF(F21&gt;0,'I-Gilts'!E12,'I-Gilts'!E12+'Adj-Mixed'!$K$4*2.204622),IF(F21&gt;0,'I-Gilts'!E16,'I-Gilts'!E16+'Adj-Mixed'!$K$4)),"")</f>
        <v>54.404646621594232</v>
      </c>
      <c r="F43" s="182" t="str">
        <f>IFERROR(IF($C$4=$O$20,IF(G21&gt;0,'I-Gilts'!F12,'I-Gilts'!F12+'Adj-Mixed'!$K$4*2.204622),IF(G21&gt;0,'I-Gilts'!F16,'I-Gilts'!F16+'Adj-Mixed'!$K$4)),"")</f>
        <v/>
      </c>
      <c r="G43" s="182" t="str">
        <f>IFERROR(IF($C$4=$O$20,IF(H21&gt;0,'I-Gilts'!G12,'I-Gilts'!G12+'Adj-Mixed'!$K$4*2.204622),IF(H21&gt;0,'I-Gilts'!G16,'I-Gilts'!G16+'Adj-Mixed'!$K$4)),"")</f>
        <v/>
      </c>
      <c r="H43" s="182" t="str">
        <f>IFERROR(IF($C$4=$O$20,IF(I21&gt;0,'I-Gilts'!H12,'I-Gilts'!H12+'Adj-Mixed'!$K$4*2.204622),IF(I21&gt;0,'I-Gilts'!H16,'I-Gilts'!H16+'Adj-Mixed'!$K$4)),"")</f>
        <v/>
      </c>
      <c r="I43" s="182" t="str">
        <f>IFERROR(IF($C$4=$O$20,IF(J21&gt;0,'I-Gilts'!I12,'I-Gilts'!I12+'Adj-Mixed'!$K$4*2.204622),IF(J21&gt;0,'I-Gilts'!I16,'I-Gilts'!I16+'Adj-Mixed'!$K$4)),"")</f>
        <v/>
      </c>
      <c r="J43" s="182" t="str">
        <f>IFERROR(IF($C$4=$O$20,IF(K21&gt;0,'I-Gilts'!J12,'I-Gilts'!J12+'Adj-Mixed'!$K$4*2.204622),IF(K21&gt;0,'I-Gilts'!J16,'I-Gilts'!J16+'Adj-Mixed'!$K$4)),"")</f>
        <v/>
      </c>
    </row>
    <row r="44" spans="1:18" hidden="1" x14ac:dyDescent="0.25">
      <c r="B44" s="44" t="str">
        <f>B34</f>
        <v>Кормовой бюджет кг/гол</v>
      </c>
      <c r="C44" s="33">
        <f>IFERROR(IF($C$4=$O$20,'I-Gilts'!C5*2.204622,'I-Gilts'!C5),"")</f>
        <v>9.1134381794783685</v>
      </c>
      <c r="D44" s="33">
        <f>IFERROR(IF($C$4=$O$20,'I-Gilts'!D5*2.204622,'I-Gilts'!D5),"")</f>
        <v>14.371787260399213</v>
      </c>
      <c r="E44" s="33">
        <f>IFERROR(IF($C$4=$O$20,'I-Gilts'!E5*2.204622,'I-Gilts'!E5),"")</f>
        <v>77.156431343212901</v>
      </c>
      <c r="F44" s="33" t="str">
        <f>IFERROR(IF($C$4=$O$20,'I-Gilts'!F5*2.204622,'I-Gilts'!F5),"")</f>
        <v xml:space="preserve"> </v>
      </c>
      <c r="G44" s="33" t="str">
        <f>IFERROR(IF($C$4=$O$20,'I-Gilts'!G5*2.204622,'I-Gilts'!G5),"")</f>
        <v xml:space="preserve"> </v>
      </c>
      <c r="H44" s="33" t="str">
        <f>IFERROR(IF($C$4=$O$20,'I-Gilts'!H5*2.204622,'I-Gilts'!H5),"")</f>
        <v xml:space="preserve"> </v>
      </c>
      <c r="I44" s="33" t="str">
        <f>IFERROR(IF($C$4=$O$20,'I-Gilts'!I5*2.204622,'I-Gilts'!I5),"")</f>
        <v xml:space="preserve"> </v>
      </c>
      <c r="J44" s="33" t="str">
        <f>IFERROR(IF($C$4=$O$20,'I-Gilts'!J5*2.204622,'I-Gilts'!J5),"")</f>
        <v xml:space="preserve"> </v>
      </c>
      <c r="M44" s="31"/>
    </row>
    <row r="45" spans="1:18" hidden="1" x14ac:dyDescent="0.25">
      <c r="B45" s="44" t="s">
        <v>44</v>
      </c>
      <c r="C45" s="11">
        <f>IFERROR(IF(D21&gt;0,'I-Gilts'!C8,'I-Gilts'!C8+'Adj-Mixed'!$J$8),"")</f>
        <v>14</v>
      </c>
      <c r="D45" s="11">
        <f>IFERROR(IF(E21&gt;0,'I-Gilts'!D8,'I-Gilts'!D8+'Adj-Mixed'!$J$8),"")</f>
        <v>10</v>
      </c>
      <c r="E45" s="11">
        <f>IFERROR(IF(F21&gt;0,'I-Gilts'!E8,'I-Gilts'!E8+'Adj-Mixed'!$J$8),"")</f>
        <v>30</v>
      </c>
      <c r="F45" s="11" t="str">
        <f>IFERROR(IF(G21&gt;0,'I-Gilts'!F8,'I-Gilts'!F8+'Adj-Mixed'!$J$8),"")</f>
        <v/>
      </c>
      <c r="G45" s="11" t="str">
        <f>IFERROR(IF(H21&gt;0,'I-Gilts'!G8,'I-Gilts'!G8+'Adj-Mixed'!$J$8),"")</f>
        <v/>
      </c>
      <c r="H45" s="11" t="str">
        <f>IFERROR(IF(I21&gt;0,'I-Gilts'!H8,'I-Gilts'!H8+'Adj-Mixed'!$J$8),"")</f>
        <v/>
      </c>
      <c r="I45" s="11" t="str">
        <f>IFERROR(IF(J21&gt;0,'I-Gilts'!I8,'I-Gilts'!I8+'Adj-Mixed'!$J$8),"")</f>
        <v/>
      </c>
      <c r="J45" s="11" t="str">
        <f>IFERROR(IF(K21&gt;0,'I-Gilts'!J8,'I-Gilts'!J8+'Adj-Mixed'!$J$8),"")</f>
        <v/>
      </c>
      <c r="Q45" s="40"/>
      <c r="R45" s="40"/>
    </row>
    <row r="46" spans="1:18" hidden="1" x14ac:dyDescent="0.25">
      <c r="B46" s="240"/>
      <c r="C46" s="241"/>
      <c r="D46" s="241"/>
      <c r="E46" s="241"/>
      <c r="F46" s="241"/>
      <c r="G46" s="241"/>
      <c r="H46" s="241"/>
      <c r="I46" s="241"/>
      <c r="J46" s="241"/>
    </row>
    <row r="47" spans="1:18" hidden="1" x14ac:dyDescent="0.25">
      <c r="B47" s="240"/>
      <c r="C47" s="241"/>
      <c r="D47" s="241"/>
      <c r="E47" s="241"/>
      <c r="F47" s="241"/>
      <c r="G47" s="241"/>
      <c r="H47" s="241"/>
      <c r="I47" s="241"/>
      <c r="J47" s="241"/>
    </row>
    <row r="48" spans="1:18" hidden="1" x14ac:dyDescent="0.25">
      <c r="L48" s="10"/>
      <c r="M48" s="51"/>
      <c r="N48" s="51"/>
    </row>
    <row r="49" spans="1:16" hidden="1" x14ac:dyDescent="0.25">
      <c r="L49" s="40"/>
      <c r="M49" s="40"/>
      <c r="N49" s="40"/>
      <c r="O49" s="40"/>
      <c r="P49" s="40"/>
    </row>
    <row r="50" spans="1:16" hidden="1" x14ac:dyDescent="0.25">
      <c r="B50" s="44" t="s">
        <v>45</v>
      </c>
      <c r="C50" s="31"/>
      <c r="D50" s="31"/>
      <c r="E50" s="31"/>
      <c r="F50" s="31"/>
      <c r="G50" s="31"/>
      <c r="L50" s="40"/>
      <c r="M50" s="40"/>
      <c r="N50" s="40"/>
      <c r="O50" s="40"/>
    </row>
    <row r="51" spans="1:16" hidden="1" x14ac:dyDescent="0.25">
      <c r="B51" s="44" t="s">
        <v>46</v>
      </c>
      <c r="C51" s="31"/>
      <c r="D51" s="31"/>
      <c r="E51" s="31"/>
      <c r="F51" s="31"/>
      <c r="G51" s="31"/>
      <c r="L51" s="78"/>
      <c r="M51" s="78"/>
      <c r="N51" s="78"/>
      <c r="O51" s="40"/>
    </row>
    <row r="52" spans="1:16" hidden="1" x14ac:dyDescent="0.25">
      <c r="B52" s="44" t="s">
        <v>47</v>
      </c>
      <c r="L52" s="40"/>
      <c r="M52" s="40"/>
      <c r="N52" s="40"/>
      <c r="O52" s="40"/>
    </row>
    <row r="53" spans="1:16" hidden="1" x14ac:dyDescent="0.25">
      <c r="B53" s="44" t="s">
        <v>48</v>
      </c>
    </row>
    <row r="54" spans="1:16" hidden="1" x14ac:dyDescent="0.25">
      <c r="B54" s="44" t="s">
        <v>49</v>
      </c>
    </row>
    <row r="55" spans="1:16" hidden="1" x14ac:dyDescent="0.25">
      <c r="B55" s="44" t="s">
        <v>50</v>
      </c>
    </row>
    <row r="56" spans="1:16" hidden="1" x14ac:dyDescent="0.25">
      <c r="B56" s="44" t="s">
        <v>51</v>
      </c>
    </row>
    <row r="57" spans="1:16" hidden="1" x14ac:dyDescent="0.25">
      <c r="B57" s="44" t="s">
        <v>52</v>
      </c>
    </row>
    <row r="58" spans="1:16" hidden="1" x14ac:dyDescent="0.25">
      <c r="B58" s="53" t="s">
        <v>53</v>
      </c>
    </row>
    <row r="59" spans="1:16" hidden="1" x14ac:dyDescent="0.25">
      <c r="B59" s="53" t="s">
        <v>54</v>
      </c>
    </row>
    <row r="60" spans="1:16" hidden="1" x14ac:dyDescent="0.25">
      <c r="A60" s="9">
        <v>25.5</v>
      </c>
      <c r="B60" s="52">
        <f>IF($C$4=$O$20,25.5,25.5/2.204622)</f>
        <v>11.56660869754543</v>
      </c>
    </row>
    <row r="61" spans="1:16" hidden="1" x14ac:dyDescent="0.25">
      <c r="A61" s="9">
        <v>25.5</v>
      </c>
      <c r="B61" s="52">
        <f>IF($C$4=$O$20,25.5,25.5/2.204622)</f>
        <v>11.56660869754543</v>
      </c>
    </row>
    <row r="62" spans="1:16" hidden="1" x14ac:dyDescent="0.25">
      <c r="A62" s="9">
        <v>16.5</v>
      </c>
      <c r="B62" s="52">
        <f>IF($C$4=$O$20,16.5,16.5/2.204622)</f>
        <v>7.4842762160588068</v>
      </c>
    </row>
    <row r="63" spans="1:16" hidden="1" x14ac:dyDescent="0.25">
      <c r="A63" s="9">
        <v>16</v>
      </c>
      <c r="B63" s="52">
        <f>IF($C$4=$O$20,16,16/2.204622)</f>
        <v>7.2574799670873285</v>
      </c>
    </row>
  </sheetData>
  <sheetProtection algorithmName="SHA-512" hashValue="kf8fmRpsBq+EDGoUsW6M+SmE3KK1PKkg835QeG8KEITkpQk8nXi6p3Jp++RKWTePq7KxQQSA5jWQNkHSwoAAnw==" saltValue="VNn+mIEoTHKUvVboJHTLAw==" spinCount="100000" sheet="1" objects="1" scenarios="1"/>
  <mergeCells count="3">
    <mergeCell ref="C11:F11"/>
    <mergeCell ref="B46:B47"/>
    <mergeCell ref="C46:J47"/>
  </mergeCells>
  <conditionalFormatting sqref="C9">
    <cfRule type="expression" dxfId="6" priority="5">
      <formula>$C$6="Live"</formula>
    </cfRule>
  </conditionalFormatting>
  <conditionalFormatting sqref="C13">
    <cfRule type="expression" dxfId="5" priority="3">
      <formula>$P$20=1</formula>
    </cfRule>
  </conditionalFormatting>
  <conditionalFormatting sqref="C23:J24">
    <cfRule type="expression" dxfId="4" priority="2">
      <formula>$P$20=1</formula>
    </cfRule>
  </conditionalFormatting>
  <conditionalFormatting sqref="C37:J39 C42:J44 C34:J34">
    <cfRule type="expression" dxfId="3" priority="1">
      <formula>$P$20=1</formula>
    </cfRule>
  </conditionalFormatting>
  <dataValidations count="9">
    <dataValidation errorStyle="warning" allowBlank="1" showInputMessage="1" showErrorMessage="1" error="This calculator is based on data between 11 and 150 kg. It is not recommended to use for body weight outside of this range." sqref="C34:J41 C44:J45" xr:uid="{8A6EE9A1-ED34-4F99-BB4C-E61BD587F55F}"/>
    <dataValidation type="decimal" errorStyle="warning" allowBlank="1" showInputMessage="1" showErrorMessage="1" error="Please double check your entry" sqref="C8 D28:J28 M14:N14 C14 C15:E18 C33:J33 C25:C32" xr:uid="{1CB2C2D6-AC7F-4524-9BFE-ABB0462D9ECB}">
      <formula1>0.1</formula1>
      <formula2>1000000</formula2>
    </dataValidation>
    <dataValidation type="decimal" errorStyle="warning" allowBlank="1" showInputMessage="1" showErrorMessage="1" error="This calculator is based on data between 11 and 150 kg. It is not recommended to use for body weight outside of this range." sqref="C34:J36 C39:J41" xr:uid="{EF516FD9-F107-43FD-9766-44119887E81C}">
      <formula1>11</formula1>
      <formula2>150</formula2>
    </dataValidation>
    <dataValidation type="decimal" allowBlank="1" showInputMessage="1" showErrorMessage="1" sqref="C9" xr:uid="{EBB6EF64-6B73-4200-A77E-D0A4CC86573A}">
      <formula1>1</formula1>
      <formula2>100</formula2>
    </dataValidation>
    <dataValidation type="decimal" errorStyle="warning" allowBlank="1" showInputMessage="1" showErrorMessage="1" error="Please double check your entry" sqref="C13 O14 F15:F18 M13:O13" xr:uid="{16F2F5E1-6155-4229-A46E-49C752DD4620}">
      <formula1>0</formula1>
      <formula2>1000000</formula2>
    </dataValidation>
    <dataValidation type="list" errorStyle="warning" allowBlank="1" showDropDown="1" showInputMessage="1" showErrorMessage="1" error="Please double check your entry" sqref="C4" xr:uid="{8F24F443-D88F-4814-9080-2F925D855764}">
      <formula1>$O$20:$O$21</formula1>
    </dataValidation>
    <dataValidation type="list" allowBlank="1" showInputMessage="1" showErrorMessage="1" errorTitle="Select the version" sqref="C4" xr:uid="{8CBDA89F-B5DF-49B3-8091-840BDE5D7D3E}">
      <formula1>$O$20:$O$21</formula1>
    </dataValidation>
    <dataValidation type="whole" errorStyle="warning" allowBlank="1" showInputMessage="1" showErrorMessage="1" error="Please double check your entry, only whole numbers are acceptable. The minimum age at beggining is 18 days. " sqref="C5" xr:uid="{DF73BF9F-0C67-4BE6-A8B2-7F4E519F1E50}">
      <formula1>18</formula1>
      <formula2>200</formula2>
    </dataValidation>
    <dataValidation type="whole" allowBlank="1" showInputMessage="1" showErrorMessage="1" error="Please check your entry, only whole numbers are acceptable. The minimum age at beggining is 18 days. " sqref="C5" xr:uid="{68BF1810-CCD1-40A5-AFC8-DDACAD0D1FF6}">
      <formula1>18</formula1>
      <formula2>200</formula2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se select one of the options" xr:uid="{2077233F-7A7A-48DC-ADD5-56CA56EFDE4D}">
          <x14:formula1>
            <xm:f>'Adj-Mixed'!$A$24:$A$25</xm:f>
          </x14:formula1>
          <xm:sqref>C6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6290D-D4C3-44FA-A8EB-AEF3634493DD}">
  <sheetPr codeName="Sheet18"/>
  <dimension ref="A1"/>
  <sheetViews>
    <sheetView showGridLines="0" showRowColHeaders="0" topLeftCell="B1" workbookViewId="0">
      <selection activeCell="W27" sqref="W27"/>
    </sheetView>
  </sheetViews>
  <sheetFormatPr defaultColWidth="8.85546875"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4945-31AC-4BA6-BD0D-0FD1866363E9}">
  <sheetPr codeName="Sheet19"/>
  <dimension ref="A1:Q33"/>
  <sheetViews>
    <sheetView topLeftCell="C1" zoomScale="160" zoomScaleNormal="160" workbookViewId="0">
      <selection activeCell="I1" sqref="I1"/>
    </sheetView>
  </sheetViews>
  <sheetFormatPr defaultColWidth="8.85546875" defaultRowHeight="15" x14ac:dyDescent="0.25"/>
  <cols>
    <col min="1" max="1" width="8.85546875" hidden="1" customWidth="1"/>
    <col min="2" max="2" width="4.28515625" hidden="1" customWidth="1"/>
    <col min="3" max="3" width="4.28515625" customWidth="1"/>
    <col min="4" max="4" width="8.85546875" bestFit="1" customWidth="1"/>
    <col min="5" max="5" width="11.7109375" customWidth="1"/>
    <col min="6" max="6" width="9.42578125" hidden="1" customWidth="1"/>
    <col min="7" max="7" width="11.7109375" customWidth="1"/>
    <col min="8" max="9" width="14.28515625" customWidth="1"/>
    <col min="10" max="10" width="16.7109375" customWidth="1"/>
    <col min="11" max="11" width="23.28515625" customWidth="1"/>
    <col min="12" max="12" width="15.140625" customWidth="1"/>
    <col min="13" max="13" width="17.42578125" customWidth="1"/>
    <col min="14" max="14" width="21.7109375" customWidth="1"/>
    <col min="16" max="17" width="20.7109375" hidden="1" customWidth="1"/>
  </cols>
  <sheetData>
    <row r="1" spans="1:17" ht="15.75" thickBot="1" x14ac:dyDescent="0.3"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7" ht="16.5" thickBot="1" x14ac:dyDescent="0.3">
      <c r="D2" s="187" t="s">
        <v>22</v>
      </c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7" ht="14.45" customHeight="1" x14ac:dyDescent="0.25">
      <c r="B3" s="245" t="s">
        <v>0</v>
      </c>
      <c r="C3" s="216"/>
      <c r="D3" s="246" t="s">
        <v>55</v>
      </c>
      <c r="E3" s="246" t="s">
        <v>56</v>
      </c>
      <c r="F3" s="246" t="str">
        <f>IF('Кормовой бюджет'!$C$4="Imperial","Weight, lb","Weight, kg")</f>
        <v>Weight, kg</v>
      </c>
      <c r="G3" s="246" t="str">
        <f>IF('Кормовой бюджет'!$C$4="Imperial","Weight, lb","Weight, kg")</f>
        <v>Weight, kg</v>
      </c>
      <c r="H3" s="242" t="str">
        <f>IF('Кормовой бюджет'!$C$4="Imperial","Total Feed per Week, lb","Total Feed per Week, kg")</f>
        <v>Total Feed per Week, kg</v>
      </c>
      <c r="I3" s="244" t="str">
        <f>IF('Кормовой бюджет'!$C$4="Imperial","Incremental ADFI, lb","Incremental ADFI, kg")</f>
        <v>Incremental ADFI, kg</v>
      </c>
      <c r="J3" s="242" t="str">
        <f>IF('Кормовой бюджет'!$C$4="Imperial","Incremental ADG, lb", "Incremental ADG, kg")</f>
        <v>Incremental ADG, kg</v>
      </c>
      <c r="K3" s="242" t="s">
        <v>57</v>
      </c>
      <c r="L3" s="242" t="str">
        <f>IF('Кормовой бюджет'!$C$4="Imperial","Cumulative ADG, lb","Cumulative ADG, kg")</f>
        <v>Cumulative ADG, kg</v>
      </c>
      <c r="M3" s="242" t="str">
        <f>IF('Кормовой бюджет'!$C$4="Imperial","Cumulative Feed Intake, lb","Cumulative Feed Intake, kg")</f>
        <v>Cumulative Feed Intake, kg</v>
      </c>
      <c r="N3" s="242" t="s">
        <v>58</v>
      </c>
    </row>
    <row r="4" spans="1:17" ht="15.75" thickBot="1" x14ac:dyDescent="0.3">
      <c r="A4" t="s">
        <v>59</v>
      </c>
      <c r="B4" s="245"/>
      <c r="C4" s="216"/>
      <c r="D4" s="247"/>
      <c r="E4" s="247"/>
      <c r="F4" s="247"/>
      <c r="G4" s="247"/>
      <c r="H4" s="243"/>
      <c r="I4" s="243"/>
      <c r="J4" s="243"/>
      <c r="K4" s="243"/>
      <c r="L4" s="243"/>
      <c r="M4" s="243"/>
      <c r="N4" s="243"/>
      <c r="P4" t="s">
        <v>60</v>
      </c>
      <c r="Q4" t="s">
        <v>61</v>
      </c>
    </row>
    <row r="5" spans="1:17" x14ac:dyDescent="0.25">
      <c r="B5" s="216">
        <f>'Curve-Mixed'!I3</f>
        <v>21</v>
      </c>
      <c r="C5" s="216"/>
      <c r="D5" s="216">
        <f t="shared" ref="D5:D31" si="0">IF(B5&gt;0,B5,"")</f>
        <v>21</v>
      </c>
      <c r="E5" s="216">
        <v>1</v>
      </c>
      <c r="F5" s="28">
        <f>IFERROR(IF('Кормовой бюджет'!$C$4="Imperial",VLOOKUP(D5,'Curve-Mixed'!$G$2:$R$185,12,FALSE),VLOOKUP(D5,'Curve-Mixed'!$G$2:$R$185,2,FALSE)),"")</f>
        <v>12</v>
      </c>
      <c r="G5" s="28">
        <f>IFERROR(IF(F6="",F5+(MAX('Кормовой бюджет'!$C$24:$J$24)-F5),F5),"")</f>
        <v>12</v>
      </c>
    </row>
    <row r="6" spans="1:17" x14ac:dyDescent="0.25">
      <c r="A6" s="216">
        <f>IFERROR(IF(D6-D5&lt;0,"",D6-D5),"")</f>
        <v>7</v>
      </c>
      <c r="B6" s="216">
        <f>MAX('Curve-Mixed'!G4:G10)</f>
        <v>28</v>
      </c>
      <c r="C6" s="216"/>
      <c r="D6" s="216">
        <f t="shared" si="0"/>
        <v>28</v>
      </c>
      <c r="E6" s="216">
        <f>IF(F6="","",E5+1)</f>
        <v>2</v>
      </c>
      <c r="F6" s="28">
        <f>IFERROR(IF('Кормовой бюджет'!$C$4="Imperial",VLOOKUP(D6,'Curve-Mixed'!$G$2:$R$185,12,FALSE),VLOOKUP(D6,'Curve-Mixed'!$G$2:$R$185,2,FALSE)),"")</f>
        <v>13.692578075422693</v>
      </c>
      <c r="G6" s="28">
        <f>IFERROR(IF(F7="",F6+(MAX('Кормовой бюджет'!$C$24:$J$24)-F6),F6),"")</f>
        <v>13.692578075422693</v>
      </c>
      <c r="H6" s="30">
        <f>IF(F6="","",IF('Кормовой бюджет'!$C$4="Imperial",Q6,P6))</f>
        <v>2.8998697358666412</v>
      </c>
      <c r="I6" s="30">
        <f>IF(F6="","",H6/A6)</f>
        <v>0.41426710512380588</v>
      </c>
      <c r="J6" s="115">
        <f>IF(G6="","",(G6-G5)/(B6-B5))</f>
        <v>0.24179686791752758</v>
      </c>
      <c r="K6" s="115">
        <f>IF(F6="","",((H6/A6)/J6))</f>
        <v>1.7132856545730968</v>
      </c>
      <c r="L6" s="115">
        <f>IF(G6="","",(G6-G5)/(B6-B5))</f>
        <v>0.24179686791752758</v>
      </c>
      <c r="M6" s="30">
        <f>IF(H6="","",SUM($H$5:$H6))</f>
        <v>2.8998697358666412</v>
      </c>
      <c r="N6" s="115">
        <f>IF(G6="","",M6/(L6*(D6-$D$5)))</f>
        <v>1.7132856545730968</v>
      </c>
      <c r="P6" s="30">
        <f>IF($F$6="","",SUM('Curve-Mixed'!M4:M10))</f>
        <v>2.8998697358666412</v>
      </c>
      <c r="Q6" s="30">
        <f>IF($F$6="","",SUM('Curve-Mixed'!Q4:Q10))</f>
        <v>6.393118420106231</v>
      </c>
    </row>
    <row r="7" spans="1:17" x14ac:dyDescent="0.25">
      <c r="A7" s="216">
        <f t="shared" ref="A7:A31" si="1">IFERROR(IF(D7-D6&lt;0,"",D7-D6),"")</f>
        <v>7</v>
      </c>
      <c r="B7" s="216">
        <f>MAX('Curve-Mixed'!G11:G17)</f>
        <v>35</v>
      </c>
      <c r="C7" s="216"/>
      <c r="D7" s="216">
        <f t="shared" si="0"/>
        <v>35</v>
      </c>
      <c r="E7" s="216">
        <f t="shared" ref="E7:E31" si="2">IF(F7="","",E6+1)</f>
        <v>3</v>
      </c>
      <c r="F7" s="28">
        <f>IFERROR(IF('Кормовой бюджет'!$C$4="Imperial",VLOOKUP(D7,'Curve-Mixed'!$G$2:$R$185,12,FALSE),VLOOKUP(D7,'Curve-Mixed'!$G$2:$R$185,2,FALSE)),"")</f>
        <v>16.997236812287344</v>
      </c>
      <c r="G7" s="28">
        <f>IFERROR(IF(F8="",F7+(MAX('Кормовой бюджет'!$C$24:$J$24)-F7),F7),"")</f>
        <v>16.997236812287344</v>
      </c>
      <c r="H7" s="30">
        <f>IF(F7="","",IF('Кормовой бюджет'!$C$4="Imperial",Q7,P7))</f>
        <v>6.179805835395392</v>
      </c>
      <c r="I7" s="30">
        <f t="shared" ref="I7:I31" si="3">IF(F7="","",H7/A7)</f>
        <v>0.88282940505648455</v>
      </c>
      <c r="J7" s="115">
        <f t="shared" ref="J7:J31" si="4">IF(G7="","",(G7-G6)/(B7-B6))</f>
        <v>0.47209410526637868</v>
      </c>
      <c r="K7" s="115">
        <f t="shared" ref="K7:K31" si="5">IF(F7="","",((H7/A7)/J7))</f>
        <v>1.8700284439229522</v>
      </c>
      <c r="L7" s="115">
        <f>IF(G7="","",(G7-$G$5)/(B7-$B$5))</f>
        <v>0.35694548659195313</v>
      </c>
      <c r="M7" s="30">
        <f>IF(H7="","",SUM($H$5:$H7))</f>
        <v>9.0796755712620332</v>
      </c>
      <c r="N7" s="115">
        <f>IF(G7="","",M7/(L7*(D7-$D$5)))</f>
        <v>1.8169392230795778</v>
      </c>
      <c r="P7" s="30">
        <f>IF($F$7="","",SUM('Curve-Mixed'!$M$11:$M$17))</f>
        <v>6.179805835395392</v>
      </c>
      <c r="Q7" s="30">
        <f>IF($F$7="","",SUM('Curve-Mixed'!$Q$11:$Q$17))</f>
        <v>13.624139743345751</v>
      </c>
    </row>
    <row r="8" spans="1:17" x14ac:dyDescent="0.25">
      <c r="A8" s="216">
        <f t="shared" si="1"/>
        <v>7</v>
      </c>
      <c r="B8" s="216">
        <f>MAX('Curve-Mixed'!G18:G24)</f>
        <v>42</v>
      </c>
      <c r="C8" s="216"/>
      <c r="D8" s="216">
        <f t="shared" si="0"/>
        <v>42</v>
      </c>
      <c r="E8" s="216">
        <f t="shared" si="2"/>
        <v>4</v>
      </c>
      <c r="F8" s="28">
        <f>IFERROR(IF('Кормовой бюджет'!$C$4="Imperial",VLOOKUP(D8,'Curve-Mixed'!$G$2:$R$185,12,FALSE),VLOOKUP(D8,'Curve-Mixed'!$G$2:$R$185,2,FALSE)),"")</f>
        <v>21.600516081980238</v>
      </c>
      <c r="G8" s="28">
        <f>IFERROR(IF(F9="",F8+(MAX('Кормовой бюджет'!$C$24:$J$24)-F8),F8),"")</f>
        <v>21.600516081980238</v>
      </c>
      <c r="H8" s="30">
        <f>IF(F8="","",IF('Кормовой бюджет'!$C$4="Imperial",Q8,P8))</f>
        <v>9.4203923999493089</v>
      </c>
      <c r="I8" s="30">
        <f t="shared" si="3"/>
        <v>1.3457703428499013</v>
      </c>
      <c r="J8" s="115">
        <f t="shared" si="4"/>
        <v>0.6576113242418421</v>
      </c>
      <c r="K8" s="115">
        <f t="shared" si="5"/>
        <v>2.0464525065796813</v>
      </c>
      <c r="L8" s="115">
        <f t="shared" ref="L8:L31" si="6">IF(G8="","",(G8-$G$5)/(B8-$B$5))</f>
        <v>0.45716743247524944</v>
      </c>
      <c r="M8" s="30">
        <f>IF(H8="","",SUM($H$5:$H8))</f>
        <v>18.500067971211344</v>
      </c>
      <c r="N8" s="115">
        <f t="shared" ref="N8:N31" si="7">IF(G8="","",M8/(L8*(D8-$D$5)))</f>
        <v>1.9269868216704711</v>
      </c>
      <c r="P8" s="30">
        <f>IF($F$8="","",SUM('Curve-Mixed'!$M$18:$M$24))</f>
        <v>9.4203923999493089</v>
      </c>
      <c r="Q8" s="30">
        <f>IF($F$8="","",SUM('Curve-Mixed'!$Q$18:$Q$24))</f>
        <v>20.768410191620521</v>
      </c>
    </row>
    <row r="9" spans="1:17" x14ac:dyDescent="0.25">
      <c r="A9" s="216">
        <f t="shared" si="1"/>
        <v>7</v>
      </c>
      <c r="B9" s="216">
        <f>MAX('Curve-Mixed'!G25:G31)</f>
        <v>49</v>
      </c>
      <c r="C9" s="216"/>
      <c r="D9" s="216">
        <f t="shared" si="0"/>
        <v>49</v>
      </c>
      <c r="E9" s="216">
        <f t="shared" si="2"/>
        <v>5</v>
      </c>
      <c r="F9" s="28">
        <f>IFERROR(IF('Кормовой бюджет'!$C$4="Imperial",VLOOKUP(D9,'Curve-Mixed'!$G$2:$R$185,12,FALSE),VLOOKUP(D9,'Curve-Mixed'!$G$2:$R$185,2,FALSE)),"")</f>
        <v>27.152827857047626</v>
      </c>
      <c r="G9" s="28">
        <f>IFERROR(IF(F10="",F9+(MAX('Кормовой бюджет'!$C$24:$J$24)-F9),F9),"")</f>
        <v>27.152827857047626</v>
      </c>
      <c r="H9" s="30">
        <f>IF(F9="","",IF('Кормовой бюджет'!$C$4="Imperial",Q9,P9))</f>
        <v>12.227115308753024</v>
      </c>
      <c r="I9" s="30">
        <f t="shared" si="3"/>
        <v>1.7467307583932892</v>
      </c>
      <c r="J9" s="115">
        <f t="shared" si="4"/>
        <v>0.79318739643819824</v>
      </c>
      <c r="K9" s="115">
        <f t="shared" si="5"/>
        <v>2.2021665576596021</v>
      </c>
      <c r="L9" s="115">
        <f t="shared" si="6"/>
        <v>0.5411724234659866</v>
      </c>
      <c r="M9" s="30">
        <f>IF(H9="","",SUM($H$5:$H9))</f>
        <v>30.727183279964368</v>
      </c>
      <c r="N9" s="115">
        <f t="shared" si="7"/>
        <v>2.0278184092003042</v>
      </c>
      <c r="P9" s="30">
        <f>IF($F$9="","",SUM('Curve-Mixed'!$M$25:$M$31))</f>
        <v>12.227115308753024</v>
      </c>
      <c r="Q9" s="30">
        <f>IF($F$9="","",SUM('Curve-Mixed'!$Q$25:$Q$31))</f>
        <v>26.956175009630392</v>
      </c>
    </row>
    <row r="10" spans="1:17" x14ac:dyDescent="0.25">
      <c r="A10" s="216">
        <f t="shared" si="1"/>
        <v>7</v>
      </c>
      <c r="B10" s="216">
        <f>MAX('Curve-Mixed'!G32:G38)</f>
        <v>56</v>
      </c>
      <c r="C10" s="216"/>
      <c r="D10" s="216">
        <f t="shared" si="0"/>
        <v>56</v>
      </c>
      <c r="E10" s="216">
        <f t="shared" si="2"/>
        <v>6</v>
      </c>
      <c r="F10" s="28">
        <f>IFERROR(IF('Кормовой бюджет'!$C$4="Imperial",VLOOKUP(D10,'Curve-Mixed'!$G$2:$R$185,12,FALSE),VLOOKUP(D10,'Curve-Mixed'!$G$2:$R$185,2,FALSE)),"")</f>
        <v>33.636110917906791</v>
      </c>
      <c r="G10" s="28">
        <f>IFERROR(IF(F11="",F10+(MAX('Кормовой бюджет'!$C$24:$J$24)-F10),F10),"")</f>
        <v>33.636110917906791</v>
      </c>
      <c r="H10" s="30">
        <f>IF(F10="","",IF('Кормовой бюджет'!$C$4="Imperial",Q10,P10))</f>
        <v>15.213275655428738</v>
      </c>
      <c r="I10" s="30">
        <f t="shared" si="3"/>
        <v>2.1733250936326769</v>
      </c>
      <c r="J10" s="115">
        <f t="shared" si="4"/>
        <v>0.92618329440845215</v>
      </c>
      <c r="K10" s="115">
        <f t="shared" si="5"/>
        <v>2.3465388619655108</v>
      </c>
      <c r="L10" s="115">
        <f>IF(G10="","",(G10-$G$5)/(B10-$B$5))</f>
        <v>0.6181745976544798</v>
      </c>
      <c r="M10" s="30">
        <f>IF(H10="","",SUM($H$5:$H10))</f>
        <v>45.94045893539311</v>
      </c>
      <c r="N10" s="115">
        <f t="shared" si="7"/>
        <v>2.1233233232027477</v>
      </c>
      <c r="P10" s="30">
        <f>IF($F$10="","",SUM('Curve-Mixed'!$M$32:$M$38))</f>
        <v>15.213275655428738</v>
      </c>
      <c r="Q10" s="30">
        <f>IF($F$10="","",SUM('Curve-Mixed'!$Q$32:$Q$38))</f>
        <v>33.53953166237946</v>
      </c>
    </row>
    <row r="11" spans="1:17" x14ac:dyDescent="0.25">
      <c r="A11" s="216">
        <f t="shared" si="1"/>
        <v>7</v>
      </c>
      <c r="B11" s="216">
        <f>MAX('Curve-Mixed'!G39:G45)</f>
        <v>63</v>
      </c>
      <c r="C11" s="216"/>
      <c r="D11" s="216">
        <f t="shared" si="0"/>
        <v>63</v>
      </c>
      <c r="E11" s="216">
        <f>IF(F11="","",E10+1)</f>
        <v>7</v>
      </c>
      <c r="F11" s="28">
        <f>IFERROR(IF('Кормовой бюджет'!$C$4="Imperial",VLOOKUP(D11,'Curve-Mixed'!$G$2:$R$185,12,FALSE),VLOOKUP(D11,'Curve-Mixed'!$G$2:$R$185,2,FALSE)),"")</f>
        <v>41.145769021694427</v>
      </c>
      <c r="G11" s="28">
        <f>IFERROR(IF(F12="",F11+(MAX('Кормовой бюджет'!$C$24:$J$24)-F11),F11),"")</f>
        <v>41.145769021694427</v>
      </c>
      <c r="H11" s="30">
        <f>IF(F11="","",IF('Кормовой бюджет'!$C$4="Imperial",Q11,P11))</f>
        <v>18.707178264293368</v>
      </c>
      <c r="I11" s="30">
        <f t="shared" si="3"/>
        <v>2.6724540377561956</v>
      </c>
      <c r="J11" s="115">
        <f t="shared" si="4"/>
        <v>1.0728083005410909</v>
      </c>
      <c r="K11" s="115">
        <f t="shared" si="5"/>
        <v>2.4910825507299799</v>
      </c>
      <c r="L11" s="115">
        <f t="shared" si="6"/>
        <v>0.69394688146891492</v>
      </c>
      <c r="M11" s="30">
        <f>IF(H11="","",SUM($H$5:$H11))</f>
        <v>64.647637199686471</v>
      </c>
      <c r="N11" s="115">
        <f t="shared" si="7"/>
        <v>2.2180796516834573</v>
      </c>
      <c r="P11" s="30">
        <f>IF($F$11="","",SUM('Curve-Mixed'!$M$39:$M$45))</f>
        <v>18.707178264293368</v>
      </c>
      <c r="Q11" s="30">
        <f>IF($F$11="","",SUM('Curve-Mixed'!$Q$39:$Q$45))</f>
        <v>41.242268392418879</v>
      </c>
    </row>
    <row r="12" spans="1:17" x14ac:dyDescent="0.25">
      <c r="A12" s="216">
        <f t="shared" si="1"/>
        <v>7</v>
      </c>
      <c r="B12" s="216">
        <f>MAX('Curve-Mixed'!G46:G52)</f>
        <v>70</v>
      </c>
      <c r="C12" s="216"/>
      <c r="D12" s="216">
        <f t="shared" si="0"/>
        <v>70</v>
      </c>
      <c r="E12" s="216">
        <f t="shared" si="2"/>
        <v>8</v>
      </c>
      <c r="F12" s="28">
        <f>IFERROR(IF('Кормовой бюджет'!$C$4="Imperial",VLOOKUP(D12,'Curve-Mixed'!$G$2:$R$185,12,FALSE),VLOOKUP(D12,'Curve-Mixed'!$G$2:$R$185,2,FALSE)),"")</f>
        <v>49.400923520177585</v>
      </c>
      <c r="G12" s="28">
        <f>IFERROR(IF(F13="",F12+(MAX('Кормовой бюджет'!$C$24:$J$24)-F12),F12),"")</f>
        <v>49.400923520177585</v>
      </c>
      <c r="H12" s="30">
        <f>IF(F12="","",IF('Кормовой бюджет'!$C$4="Imperial",Q12,P12))</f>
        <v>22.498833078408325</v>
      </c>
      <c r="I12" s="30">
        <f t="shared" si="3"/>
        <v>3.214119011201189</v>
      </c>
      <c r="J12" s="115">
        <f t="shared" si="4"/>
        <v>1.179307785497594</v>
      </c>
      <c r="K12" s="115">
        <f t="shared" si="5"/>
        <v>2.7254284680610601</v>
      </c>
      <c r="L12" s="115">
        <f>IF(G12="","",(G12-$G$5)/(B12-$B$5))</f>
        <v>0.76328415347301193</v>
      </c>
      <c r="M12" s="30">
        <f>IF(H12="","",SUM($H$5:$H12))</f>
        <v>87.146470278094796</v>
      </c>
      <c r="N12" s="115">
        <f t="shared" si="7"/>
        <v>2.330061989808347</v>
      </c>
      <c r="P12" s="30">
        <f>IF($F$12="","",SUM('Curve-Mixed'!$M$46:$M$52))</f>
        <v>22.498833078408325</v>
      </c>
      <c r="Q12" s="30">
        <f>IF($F$12="","",SUM('Curve-Mixed'!$Q$46:$Q$52))</f>
        <v>49.601436369858519</v>
      </c>
    </row>
    <row r="13" spans="1:17" x14ac:dyDescent="0.25">
      <c r="A13" s="216">
        <f t="shared" si="1"/>
        <v>4</v>
      </c>
      <c r="B13" s="216">
        <f>MAX('Curve-Mixed'!G53:G59)</f>
        <v>74</v>
      </c>
      <c r="C13" s="216"/>
      <c r="D13" s="216">
        <f t="shared" si="0"/>
        <v>74</v>
      </c>
      <c r="E13" s="216">
        <f t="shared" si="2"/>
        <v>9</v>
      </c>
      <c r="F13" s="28">
        <f>IFERROR(IF('Кормовой бюджет'!$C$4="Imperial",VLOOKUP(D13,'Curve-Mixed'!$G$2:$R$185,12,FALSE),VLOOKUP(D13,'Curve-Mixed'!$G$2:$R$185,2,FALSE)),"")</f>
        <v>54.4</v>
      </c>
      <c r="G13" s="28">
        <f>IFERROR(IF(F14="",F13+(MAX('Кормовой бюджет'!$C$24:$J$24)-F13),F13),"")</f>
        <v>55</v>
      </c>
      <c r="H13" s="30">
        <f>IF(F13="","",IF('Кормовой бюджет'!$C$4="Imperial",Q13,P13))</f>
        <v>14.613529721905163</v>
      </c>
      <c r="I13" s="30">
        <f t="shared" si="3"/>
        <v>3.6533824304762907</v>
      </c>
      <c r="J13" s="115">
        <f t="shared" si="4"/>
        <v>1.3997691199556037</v>
      </c>
      <c r="K13" s="115">
        <f t="shared" si="5"/>
        <v>2.6099893035161146</v>
      </c>
      <c r="L13" s="115">
        <f t="shared" si="6"/>
        <v>0.81132075471698117</v>
      </c>
      <c r="M13" s="30">
        <f>IF(H13="","",SUM($H$5:$H13))</f>
        <v>101.75999999999996</v>
      </c>
      <c r="N13" s="115">
        <f t="shared" si="7"/>
        <v>2.3665116279069758</v>
      </c>
      <c r="P13" s="30">
        <f>IF($F$13="","",SUM('Curve-Mixed'!$M$53:$M$59))</f>
        <v>14.613529721905163</v>
      </c>
      <c r="Q13" s="30">
        <f>IF($F$13="","",SUM('Curve-Mixed'!$Q$53:$Q$59))</f>
        <v>32.217318209971573</v>
      </c>
    </row>
    <row r="14" spans="1:17" x14ac:dyDescent="0.25">
      <c r="A14" s="216" t="str">
        <f t="shared" si="1"/>
        <v/>
      </c>
      <c r="B14" s="216">
        <f>MAX('Curve-Mixed'!G60:G66)</f>
        <v>0</v>
      </c>
      <c r="C14" s="216"/>
      <c r="D14" s="216" t="str">
        <f t="shared" si="0"/>
        <v/>
      </c>
      <c r="E14" s="216" t="str">
        <f t="shared" si="2"/>
        <v/>
      </c>
      <c r="F14" s="28" t="str">
        <f>IFERROR(IF('Кормовой бюджет'!$C$4="Imperial",VLOOKUP(D14,'Curve-Mixed'!$G$2:$R$185,12,FALSE),VLOOKUP(D14,'Curve-Mixed'!$G$2:$R$185,2,FALSE)),"")</f>
        <v/>
      </c>
      <c r="G14" s="28" t="str">
        <f>IFERROR(IF(F15="",F14+(MAX('Кормовой бюджет'!$C$24:$J$24)-F14),F14),"")</f>
        <v/>
      </c>
      <c r="H14" s="30" t="str">
        <f>IF(F14="","",IF('Кормовой бюджет'!$C$4="Imperial",Q14,P14))</f>
        <v/>
      </c>
      <c r="I14" s="30" t="str">
        <f t="shared" si="3"/>
        <v/>
      </c>
      <c r="J14" s="115" t="str">
        <f t="shared" si="4"/>
        <v/>
      </c>
      <c r="K14" s="115" t="str">
        <f t="shared" si="5"/>
        <v/>
      </c>
      <c r="L14" s="115" t="str">
        <f t="shared" si="6"/>
        <v/>
      </c>
      <c r="M14" s="30" t="str">
        <f>IF(H14="","",SUM($H$5:$H14))</f>
        <v/>
      </c>
      <c r="N14" s="115" t="str">
        <f t="shared" si="7"/>
        <v/>
      </c>
      <c r="P14" s="30" t="str">
        <f>IF($F$14="","",SUM('Curve-Mixed'!$M$60:$M$66))</f>
        <v/>
      </c>
      <c r="Q14" s="30" t="str">
        <f>IF($F$14="","",SUM('Curve-Mixed'!$Q$60:$Q$66))</f>
        <v/>
      </c>
    </row>
    <row r="15" spans="1:17" x14ac:dyDescent="0.25">
      <c r="A15" s="216" t="str">
        <f t="shared" si="1"/>
        <v/>
      </c>
      <c r="B15" s="216">
        <f>MAX('Curve-Mixed'!G67:G73)</f>
        <v>0</v>
      </c>
      <c r="C15" s="216"/>
      <c r="D15" s="216" t="str">
        <f t="shared" si="0"/>
        <v/>
      </c>
      <c r="E15" s="216" t="str">
        <f t="shared" si="2"/>
        <v/>
      </c>
      <c r="F15" s="28" t="str">
        <f>IFERROR(IF('Кормовой бюджет'!$C$4="Imperial",VLOOKUP(D15,'Curve-Mixed'!$G$2:$R$185,12,FALSE),VLOOKUP(D15,'Curve-Mixed'!$G$2:$R$185,2,FALSE)),"")</f>
        <v/>
      </c>
      <c r="G15" s="28" t="str">
        <f>IFERROR(IF(F16="",F15+(MAX('Кормовой бюджет'!$C$24:$J$24)-F15),F15),"")</f>
        <v/>
      </c>
      <c r="H15" s="30" t="str">
        <f>IF(F15="","",IF('Кормовой бюджет'!$C$4="Imperial",Q15,P15))</f>
        <v/>
      </c>
      <c r="I15" s="30" t="str">
        <f t="shared" si="3"/>
        <v/>
      </c>
      <c r="J15" s="115" t="str">
        <f t="shared" si="4"/>
        <v/>
      </c>
      <c r="K15" s="115" t="str">
        <f t="shared" si="5"/>
        <v/>
      </c>
      <c r="L15" s="115" t="str">
        <f t="shared" si="6"/>
        <v/>
      </c>
      <c r="M15" s="30" t="str">
        <f>IF(H15="","",SUM($H$5:$H15))</f>
        <v/>
      </c>
      <c r="N15" s="115" t="str">
        <f t="shared" si="7"/>
        <v/>
      </c>
      <c r="P15" s="30" t="str">
        <f>IF($F$15="","",SUM('Curve-Mixed'!$M$67:$M$73))</f>
        <v/>
      </c>
      <c r="Q15" s="30" t="str">
        <f>IF($F$15="","",SUM('Curve-Mixed'!$Q$67:$Q$73))</f>
        <v/>
      </c>
    </row>
    <row r="16" spans="1:17" x14ac:dyDescent="0.25">
      <c r="A16" s="216" t="str">
        <f t="shared" si="1"/>
        <v/>
      </c>
      <c r="B16" s="216">
        <f>MAX('Curve-Mixed'!G74:G80)</f>
        <v>0</v>
      </c>
      <c r="C16" s="216"/>
      <c r="D16" s="216" t="str">
        <f t="shared" si="0"/>
        <v/>
      </c>
      <c r="E16" s="216" t="str">
        <f t="shared" si="2"/>
        <v/>
      </c>
      <c r="F16" s="28" t="str">
        <f>IFERROR(IF('Кормовой бюджет'!$C$4="Imperial",VLOOKUP(D16,'Curve-Mixed'!$G$2:$R$185,12,FALSE),VLOOKUP(D16,'Curve-Mixed'!$G$2:$R$185,2,FALSE)),"")</f>
        <v/>
      </c>
      <c r="G16" s="28" t="str">
        <f>IFERROR(IF(F17="",F16+(MAX('Кормовой бюджет'!$C$24:$J$24)-F16),F16),"")</f>
        <v/>
      </c>
      <c r="H16" s="30" t="str">
        <f>IF(F16="","",IF('Кормовой бюджет'!$C$4="Imperial",Q16,P16))</f>
        <v/>
      </c>
      <c r="I16" s="30" t="str">
        <f t="shared" si="3"/>
        <v/>
      </c>
      <c r="J16" s="115" t="str">
        <f t="shared" si="4"/>
        <v/>
      </c>
      <c r="K16" s="115" t="str">
        <f t="shared" si="5"/>
        <v/>
      </c>
      <c r="L16" s="115" t="str">
        <f t="shared" si="6"/>
        <v/>
      </c>
      <c r="M16" s="30" t="str">
        <f>IF(H16="","",SUM($H$5:$H16))</f>
        <v/>
      </c>
      <c r="N16" s="115" t="str">
        <f t="shared" si="7"/>
        <v/>
      </c>
      <c r="P16" s="30" t="str">
        <f>IF($F$16="","",SUM('Curve-Mixed'!$M$74:$M$80))</f>
        <v/>
      </c>
      <c r="Q16" s="30" t="str">
        <f>IF($F$16="","",SUM('Curve-Mixed'!$Q$74:$Q$80))</f>
        <v/>
      </c>
    </row>
    <row r="17" spans="1:17" x14ac:dyDescent="0.25">
      <c r="A17" s="216" t="str">
        <f t="shared" si="1"/>
        <v/>
      </c>
      <c r="B17" s="216">
        <f>MAX('Curve-Mixed'!G81:G87)</f>
        <v>0</v>
      </c>
      <c r="C17" s="216"/>
      <c r="D17" s="216" t="str">
        <f t="shared" si="0"/>
        <v/>
      </c>
      <c r="E17" s="216" t="str">
        <f t="shared" si="2"/>
        <v/>
      </c>
      <c r="F17" s="28" t="str">
        <f>IFERROR(IF('Кормовой бюджет'!$C$4="Imperial",VLOOKUP(D17,'Curve-Mixed'!$G$2:$R$185,12,FALSE),VLOOKUP(D17,'Curve-Mixed'!$G$2:$R$185,2,FALSE)),"")</f>
        <v/>
      </c>
      <c r="G17" s="28" t="str">
        <f>IFERROR(IF(F18="",F17+(MAX('Кормовой бюджет'!$C$24:$J$24)-F17),F17),"")</f>
        <v/>
      </c>
      <c r="H17" s="30" t="str">
        <f>IF(F17="","",IF('Кормовой бюджет'!$C$4="Imperial",Q17,P17))</f>
        <v/>
      </c>
      <c r="I17" s="30" t="str">
        <f t="shared" si="3"/>
        <v/>
      </c>
      <c r="J17" s="115" t="str">
        <f t="shared" si="4"/>
        <v/>
      </c>
      <c r="K17" s="115" t="str">
        <f t="shared" si="5"/>
        <v/>
      </c>
      <c r="L17" s="115" t="str">
        <f t="shared" si="6"/>
        <v/>
      </c>
      <c r="M17" s="30" t="str">
        <f>IF(H17="","",SUM($H$5:$H17))</f>
        <v/>
      </c>
      <c r="N17" s="115" t="str">
        <f t="shared" si="7"/>
        <v/>
      </c>
      <c r="P17" s="30" t="str">
        <f>IF($F$17="","",SUM('Curve-Mixed'!$M$81:$M$87))</f>
        <v/>
      </c>
      <c r="Q17" s="30" t="str">
        <f>IF($F$17="","",SUM('Curve-Mixed'!$Q$81:$Q$87))</f>
        <v/>
      </c>
    </row>
    <row r="18" spans="1:17" x14ac:dyDescent="0.25">
      <c r="A18" s="216" t="str">
        <f t="shared" si="1"/>
        <v/>
      </c>
      <c r="B18" s="216">
        <f>MAX('Curve-Mixed'!G88:G94)</f>
        <v>0</v>
      </c>
      <c r="C18" s="216"/>
      <c r="D18" s="216" t="str">
        <f t="shared" si="0"/>
        <v/>
      </c>
      <c r="E18" s="216" t="str">
        <f t="shared" si="2"/>
        <v/>
      </c>
      <c r="F18" s="28" t="str">
        <f>IFERROR(IF('Кормовой бюджет'!$C$4="Imperial",VLOOKUP(D18,'Curve-Mixed'!$G$2:$R$185,12,FALSE),VLOOKUP(D18,'Curve-Mixed'!$G$2:$R$185,2,FALSE)),"")</f>
        <v/>
      </c>
      <c r="G18" s="28" t="str">
        <f>IFERROR(IF(F19="",F18+(MAX('Кормовой бюджет'!$C$24:$J$24)-F18),F18),"")</f>
        <v/>
      </c>
      <c r="H18" s="30" t="str">
        <f>IF(F18="","",IF('Кормовой бюджет'!$C$4="Imperial",Q18,P18))</f>
        <v/>
      </c>
      <c r="I18" s="30" t="str">
        <f t="shared" si="3"/>
        <v/>
      </c>
      <c r="J18" s="115" t="str">
        <f t="shared" si="4"/>
        <v/>
      </c>
      <c r="K18" s="115" t="str">
        <f t="shared" si="5"/>
        <v/>
      </c>
      <c r="L18" s="115" t="str">
        <f t="shared" si="6"/>
        <v/>
      </c>
      <c r="M18" s="30" t="str">
        <f>IF(H18="","",SUM($H$5:$H18))</f>
        <v/>
      </c>
      <c r="N18" s="115" t="str">
        <f t="shared" si="7"/>
        <v/>
      </c>
      <c r="P18" s="30" t="str">
        <f>IF($F$18="","",SUM('Curve-Mixed'!$M$88:$M$94))</f>
        <v/>
      </c>
      <c r="Q18" s="30" t="str">
        <f>IF($F$18="","",SUM('Curve-Mixed'!$Q$88:$Q$94))</f>
        <v/>
      </c>
    </row>
    <row r="19" spans="1:17" x14ac:dyDescent="0.25">
      <c r="A19" s="216" t="str">
        <f t="shared" si="1"/>
        <v/>
      </c>
      <c r="B19" s="216">
        <f>MAX('Curve-Mixed'!G95:G101)</f>
        <v>0</v>
      </c>
      <c r="C19" s="216"/>
      <c r="D19" s="216" t="str">
        <f t="shared" si="0"/>
        <v/>
      </c>
      <c r="E19" s="216" t="str">
        <f t="shared" si="2"/>
        <v/>
      </c>
      <c r="F19" s="28" t="str">
        <f>IFERROR(IF('Кормовой бюджет'!$C$4="Imperial",VLOOKUP(D19,'Curve-Mixed'!$G$2:$R$185,12,FALSE),VLOOKUP(D19,'Curve-Mixed'!$G$2:$R$185,2,FALSE)),"")</f>
        <v/>
      </c>
      <c r="G19" s="28" t="str">
        <f>IFERROR(IF(F20="",F19+(MAX('Кормовой бюджет'!$C$24:$J$24)-F19),F19),"")</f>
        <v/>
      </c>
      <c r="H19" s="30" t="str">
        <f>IF(F19="","",IF('Кормовой бюджет'!$C$4="Imperial",Q19,P19))</f>
        <v/>
      </c>
      <c r="I19" s="30" t="str">
        <f t="shared" si="3"/>
        <v/>
      </c>
      <c r="J19" s="115" t="str">
        <f t="shared" si="4"/>
        <v/>
      </c>
      <c r="K19" s="115" t="str">
        <f t="shared" si="5"/>
        <v/>
      </c>
      <c r="L19" s="115" t="str">
        <f t="shared" si="6"/>
        <v/>
      </c>
      <c r="M19" s="30" t="str">
        <f>IF(H19="","",SUM($H$5:$H19))</f>
        <v/>
      </c>
      <c r="N19" s="115" t="str">
        <f t="shared" si="7"/>
        <v/>
      </c>
      <c r="P19" s="30" t="str">
        <f>IF($F$19="","",SUM('Curve-Mixed'!$M$95:$M$101))</f>
        <v/>
      </c>
      <c r="Q19" s="30" t="str">
        <f>IF($F$19="","",SUM('Curve-Mixed'!$Q$95:$Q$101))</f>
        <v/>
      </c>
    </row>
    <row r="20" spans="1:17" x14ac:dyDescent="0.25">
      <c r="A20" s="216" t="str">
        <f t="shared" si="1"/>
        <v/>
      </c>
      <c r="B20" s="216">
        <f>MAX('Curve-Mixed'!G102:G108)</f>
        <v>0</v>
      </c>
      <c r="C20" s="216"/>
      <c r="D20" s="216" t="str">
        <f t="shared" si="0"/>
        <v/>
      </c>
      <c r="E20" s="216" t="str">
        <f t="shared" si="2"/>
        <v/>
      </c>
      <c r="F20" s="28" t="str">
        <f>IFERROR(IF('Кормовой бюджет'!$C$4="Imperial",VLOOKUP(D20,'Curve-Mixed'!$G$2:$R$185,12,FALSE),VLOOKUP(D20,'Curve-Mixed'!$G$2:$R$185,2,FALSE)),"")</f>
        <v/>
      </c>
      <c r="G20" s="28" t="str">
        <f>IFERROR(IF(F21="",F20+(MAX('Кормовой бюджет'!$C$24:$J$24)-F20),F20),"")</f>
        <v/>
      </c>
      <c r="H20" s="30" t="str">
        <f>IF(F20="","",IF('Кормовой бюджет'!$C$4="Imperial",Q20,P20))</f>
        <v/>
      </c>
      <c r="I20" s="30" t="str">
        <f t="shared" si="3"/>
        <v/>
      </c>
      <c r="J20" s="115" t="str">
        <f t="shared" si="4"/>
        <v/>
      </c>
      <c r="K20" s="115" t="str">
        <f t="shared" si="5"/>
        <v/>
      </c>
      <c r="L20" s="115" t="str">
        <f t="shared" si="6"/>
        <v/>
      </c>
      <c r="M20" s="30" t="str">
        <f>IF(H20="","",SUM($H$5:$H20))</f>
        <v/>
      </c>
      <c r="N20" s="115" t="str">
        <f t="shared" si="7"/>
        <v/>
      </c>
      <c r="P20" s="30" t="str">
        <f>IF($F$20="","",SUM('Curve-Mixed'!$M$102:$M$108))</f>
        <v/>
      </c>
      <c r="Q20" s="30" t="str">
        <f>IF($F$20="","",SUM('Curve-Mixed'!$Q$102:$Q$108))</f>
        <v/>
      </c>
    </row>
    <row r="21" spans="1:17" x14ac:dyDescent="0.25">
      <c r="A21" s="216" t="str">
        <f t="shared" si="1"/>
        <v/>
      </c>
      <c r="B21" s="216">
        <f>MAX('Curve-Mixed'!G109:G115)</f>
        <v>0</v>
      </c>
      <c r="C21" s="216"/>
      <c r="D21" s="216" t="str">
        <f t="shared" si="0"/>
        <v/>
      </c>
      <c r="E21" s="216" t="str">
        <f t="shared" si="2"/>
        <v/>
      </c>
      <c r="F21" s="28" t="str">
        <f>IFERROR(IF('Кормовой бюджет'!$C$4="Imperial",VLOOKUP(D21,'Curve-Mixed'!$G$2:$R$185,12,FALSE),VLOOKUP(D21,'Curve-Mixed'!$G$2:$R$185,2,FALSE)),"")</f>
        <v/>
      </c>
      <c r="G21" s="28" t="str">
        <f>IFERROR(IF(F22="",F21+(MAX('Кормовой бюджет'!$C$24:$J$24)-F21),F21),"")</f>
        <v/>
      </c>
      <c r="H21" s="30" t="str">
        <f>IF(F21="","",IF('Кормовой бюджет'!$C$4="Imperial",Q21,P21))</f>
        <v/>
      </c>
      <c r="I21" s="30" t="str">
        <f t="shared" si="3"/>
        <v/>
      </c>
      <c r="J21" s="115" t="str">
        <f t="shared" si="4"/>
        <v/>
      </c>
      <c r="K21" s="115" t="str">
        <f t="shared" si="5"/>
        <v/>
      </c>
      <c r="L21" s="115" t="str">
        <f t="shared" si="6"/>
        <v/>
      </c>
      <c r="M21" s="30" t="str">
        <f>IF(H21="","",SUM($H$5:$H21))</f>
        <v/>
      </c>
      <c r="N21" s="115" t="str">
        <f t="shared" si="7"/>
        <v/>
      </c>
      <c r="P21" s="30" t="str">
        <f>IF($F$21="","",SUM('Curve-Mixed'!$M$109:$M$115))</f>
        <v/>
      </c>
      <c r="Q21" s="30" t="str">
        <f>IF($F$21="","",SUM('Curve-Mixed'!$Q$109:$Q$115))</f>
        <v/>
      </c>
    </row>
    <row r="22" spans="1:17" x14ac:dyDescent="0.25">
      <c r="A22" s="216" t="str">
        <f t="shared" si="1"/>
        <v/>
      </c>
      <c r="B22" s="216">
        <f>MAX('Curve-Mixed'!G116:G122)</f>
        <v>0</v>
      </c>
      <c r="C22" s="216"/>
      <c r="D22" s="216" t="str">
        <f t="shared" si="0"/>
        <v/>
      </c>
      <c r="E22" s="216" t="str">
        <f t="shared" si="2"/>
        <v/>
      </c>
      <c r="F22" s="28" t="str">
        <f>IFERROR(IF('Кормовой бюджет'!$C$4="Imperial",VLOOKUP(D22,'Curve-Mixed'!$G$2:$R$185,12,FALSE),VLOOKUP(D22,'Curve-Mixed'!$G$2:$R$185,2,FALSE)),"")</f>
        <v/>
      </c>
      <c r="G22" s="28" t="str">
        <f>IFERROR(IF(F23="",F22+(MAX('Кормовой бюджет'!$C$24:$J$24)-F22),F22),"")</f>
        <v/>
      </c>
      <c r="H22" s="30" t="str">
        <f>IF(F22="","",IF('Кормовой бюджет'!$C$4="Imperial",Q22,P22))</f>
        <v/>
      </c>
      <c r="I22" s="30" t="str">
        <f t="shared" si="3"/>
        <v/>
      </c>
      <c r="J22" s="115" t="str">
        <f t="shared" si="4"/>
        <v/>
      </c>
      <c r="K22" s="115" t="str">
        <f t="shared" si="5"/>
        <v/>
      </c>
      <c r="L22" s="115" t="str">
        <f t="shared" si="6"/>
        <v/>
      </c>
      <c r="M22" s="30" t="str">
        <f>IF(H22="","",SUM($H$5:$H22))</f>
        <v/>
      </c>
      <c r="N22" s="115" t="str">
        <f t="shared" si="7"/>
        <v/>
      </c>
      <c r="P22" s="30" t="str">
        <f>IF($F$22="","",SUM('Curve-Mixed'!$M$116:$M$122))</f>
        <v/>
      </c>
      <c r="Q22" s="30" t="str">
        <f>IF($F$22="","",SUM('Curve-Mixed'!$Q$116:$Q$122))</f>
        <v/>
      </c>
    </row>
    <row r="23" spans="1:17" x14ac:dyDescent="0.25">
      <c r="A23" s="216" t="str">
        <f t="shared" si="1"/>
        <v/>
      </c>
      <c r="B23" s="216">
        <f>MAX('Curve-Mixed'!G123:G129)</f>
        <v>0</v>
      </c>
      <c r="C23" s="216"/>
      <c r="D23" s="216" t="str">
        <f t="shared" si="0"/>
        <v/>
      </c>
      <c r="E23" s="216" t="str">
        <f t="shared" si="2"/>
        <v/>
      </c>
      <c r="F23" s="28" t="str">
        <f>IFERROR(IF('Кормовой бюджет'!$C$4="Imperial",VLOOKUP(D23,'Curve-Mixed'!$G$2:$R$185,12,FALSE),VLOOKUP(D23,'Curve-Mixed'!$G$2:$R$185,2,FALSE)),"")</f>
        <v/>
      </c>
      <c r="G23" s="28" t="str">
        <f>IFERROR(IF(F24="",F23+(MAX('Кормовой бюджет'!$C$24:$J$24)-F23),F23),"")</f>
        <v/>
      </c>
      <c r="H23" s="30" t="str">
        <f>IF(F23="","",IF('Кормовой бюджет'!$C$4="Imperial",Q23,P23))</f>
        <v/>
      </c>
      <c r="I23" s="30" t="str">
        <f t="shared" si="3"/>
        <v/>
      </c>
      <c r="J23" s="115" t="str">
        <f t="shared" si="4"/>
        <v/>
      </c>
      <c r="K23" s="115" t="str">
        <f t="shared" si="5"/>
        <v/>
      </c>
      <c r="L23" s="115" t="str">
        <f t="shared" si="6"/>
        <v/>
      </c>
      <c r="M23" s="30" t="str">
        <f>IF(H23="","",SUM($H$5:$H23))</f>
        <v/>
      </c>
      <c r="N23" s="115" t="str">
        <f t="shared" si="7"/>
        <v/>
      </c>
      <c r="P23" s="30" t="str">
        <f>IF($F$23="","",SUM('Curve-Mixed'!$M$123:$M$129))</f>
        <v/>
      </c>
      <c r="Q23" s="30" t="str">
        <f>IF($F$23="","",SUM('Curve-Mixed'!$Q$123:$Q$129))</f>
        <v/>
      </c>
    </row>
    <row r="24" spans="1:17" x14ac:dyDescent="0.25">
      <c r="A24" s="216" t="str">
        <f t="shared" si="1"/>
        <v/>
      </c>
      <c r="B24" s="216">
        <f>MAX('Curve-Mixed'!G130:G136)</f>
        <v>0</v>
      </c>
      <c r="C24" s="216"/>
      <c r="D24" s="216" t="str">
        <f t="shared" si="0"/>
        <v/>
      </c>
      <c r="E24" s="216" t="str">
        <f t="shared" si="2"/>
        <v/>
      </c>
      <c r="F24" s="28" t="str">
        <f>IFERROR(IF('Кормовой бюджет'!$C$4="Imperial",VLOOKUP(D24,'Curve-Mixed'!$G$2:$R$185,12,FALSE),VLOOKUP(D24,'Curve-Mixed'!$G$2:$R$185,2,FALSE)),"")</f>
        <v/>
      </c>
      <c r="G24" s="28" t="str">
        <f>IFERROR(IF(F25="",F24+(MAX('Кормовой бюджет'!$C$24:$J$24)-F24),F24),"")</f>
        <v/>
      </c>
      <c r="H24" s="30" t="str">
        <f>IF(F24="","",IF('Кормовой бюджет'!$C$4="Imperial",Q24,P24))</f>
        <v/>
      </c>
      <c r="I24" s="30" t="str">
        <f t="shared" si="3"/>
        <v/>
      </c>
      <c r="J24" s="115" t="str">
        <f t="shared" si="4"/>
        <v/>
      </c>
      <c r="K24" s="115" t="str">
        <f t="shared" si="5"/>
        <v/>
      </c>
      <c r="L24" s="115" t="str">
        <f t="shared" si="6"/>
        <v/>
      </c>
      <c r="M24" s="30" t="str">
        <f>IF(H24="","",SUM($H$5:$H24))</f>
        <v/>
      </c>
      <c r="N24" s="115" t="str">
        <f t="shared" si="7"/>
        <v/>
      </c>
      <c r="P24" s="30" t="str">
        <f>IF($F$24="","",SUM('Curve-Mixed'!$M$130:$M$136))</f>
        <v/>
      </c>
      <c r="Q24" s="30" t="str">
        <f>IF($F$24="","",SUM('Curve-Mixed'!$Q$130:$Q$136))</f>
        <v/>
      </c>
    </row>
    <row r="25" spans="1:17" x14ac:dyDescent="0.25">
      <c r="A25" s="216" t="str">
        <f t="shared" si="1"/>
        <v/>
      </c>
      <c r="B25" s="216">
        <f>MAX('Curve-Mixed'!G137:G143)</f>
        <v>0</v>
      </c>
      <c r="C25" s="216"/>
      <c r="D25" s="216" t="str">
        <f t="shared" si="0"/>
        <v/>
      </c>
      <c r="E25" s="216" t="str">
        <f t="shared" si="2"/>
        <v/>
      </c>
      <c r="F25" s="28" t="str">
        <f>IFERROR(IF('Кормовой бюджет'!$C$4="Imperial",VLOOKUP(D25,'Curve-Mixed'!$G$2:$R$185,12,FALSE),VLOOKUP(D25,'Curve-Mixed'!$G$2:$R$185,2,FALSE)),"")</f>
        <v/>
      </c>
      <c r="G25" s="28" t="str">
        <f>IFERROR(IF(F26="",F25+(MAX('Кормовой бюджет'!$C$24:$J$24)-F25),F25),"")</f>
        <v/>
      </c>
      <c r="H25" s="30" t="str">
        <f>IF(F25="","",IF('Кормовой бюджет'!$C$4="Imperial",Q25,P25))</f>
        <v/>
      </c>
      <c r="I25" s="30" t="str">
        <f t="shared" si="3"/>
        <v/>
      </c>
      <c r="J25" s="115" t="str">
        <f t="shared" si="4"/>
        <v/>
      </c>
      <c r="K25" s="115" t="str">
        <f t="shared" si="5"/>
        <v/>
      </c>
      <c r="L25" s="115" t="str">
        <f t="shared" si="6"/>
        <v/>
      </c>
      <c r="M25" s="30" t="str">
        <f>IF(H25="","",SUM($H$5:$H25))</f>
        <v/>
      </c>
      <c r="N25" s="115" t="str">
        <f t="shared" si="7"/>
        <v/>
      </c>
      <c r="P25" s="30" t="str">
        <f>IF($F$25="","",SUM('Curve-Mixed'!$M$137:$M$143))</f>
        <v/>
      </c>
      <c r="Q25" s="30" t="str">
        <f>IF($F$25="","",SUM('Curve-Mixed'!$Q$137:$Q$143))</f>
        <v/>
      </c>
    </row>
    <row r="26" spans="1:17" x14ac:dyDescent="0.25">
      <c r="A26" s="216" t="str">
        <f t="shared" si="1"/>
        <v/>
      </c>
      <c r="B26" s="216">
        <f>MAX('Curve-Mixed'!G144:G150)</f>
        <v>0</v>
      </c>
      <c r="C26" s="216"/>
      <c r="D26" s="216" t="str">
        <f t="shared" si="0"/>
        <v/>
      </c>
      <c r="E26" s="151" t="str">
        <f t="shared" si="2"/>
        <v/>
      </c>
      <c r="F26" s="28" t="str">
        <f>IFERROR(IF('Кормовой бюджет'!$C$4="Imperial",VLOOKUP(D26,'Curve-Mixed'!$G$2:$R$185,12,FALSE),VLOOKUP(D26,'Curve-Mixed'!$G$2:$R$185,2,FALSE)),"")</f>
        <v/>
      </c>
      <c r="G26" s="28" t="str">
        <f>IFERROR(IF(F27="",F26+(MAX('Кормовой бюджет'!$C$24:$J$24)-F26),F26),"")</f>
        <v/>
      </c>
      <c r="H26" s="30" t="str">
        <f>IF(F26="","",IF('Кормовой бюджет'!$C$4="Imperial",Q26,P26))</f>
        <v/>
      </c>
      <c r="I26" s="30" t="str">
        <f t="shared" si="3"/>
        <v/>
      </c>
      <c r="J26" s="115" t="str">
        <f t="shared" si="4"/>
        <v/>
      </c>
      <c r="K26" s="115" t="str">
        <f t="shared" si="5"/>
        <v/>
      </c>
      <c r="L26" s="115" t="str">
        <f t="shared" si="6"/>
        <v/>
      </c>
      <c r="M26" s="30" t="str">
        <f>IF(H26="","",SUM($H$5:$H26))</f>
        <v/>
      </c>
      <c r="N26" s="115" t="str">
        <f t="shared" si="7"/>
        <v/>
      </c>
      <c r="P26" s="155" t="str">
        <f>IF($F$26="","",SUM('Curve-Mixed'!$M$144:$M$150))</f>
        <v/>
      </c>
      <c r="Q26" s="155" t="str">
        <f>IF($F$26="","",SUM('Curve-Mixed'!$Q$144:$Q$150))</f>
        <v/>
      </c>
    </row>
    <row r="27" spans="1:17" x14ac:dyDescent="0.25">
      <c r="A27" s="216" t="str">
        <f t="shared" si="1"/>
        <v/>
      </c>
      <c r="B27" s="216">
        <f>MAX('Curve-Mixed'!G151:G157)</f>
        <v>0</v>
      </c>
      <c r="C27" s="216"/>
      <c r="D27" s="216" t="str">
        <f t="shared" si="0"/>
        <v/>
      </c>
      <c r="E27" s="151" t="str">
        <f t="shared" si="2"/>
        <v/>
      </c>
      <c r="F27" s="28" t="str">
        <f>IFERROR(IF('Кормовой бюджет'!$C$4="Imperial",VLOOKUP(D27,'Curve-Mixed'!$G$2:$R$185,12,FALSE),VLOOKUP(D27,'Curve-Mixed'!$G$2:$R$185,2,FALSE)),"")</f>
        <v/>
      </c>
      <c r="G27" s="28" t="str">
        <f>IFERROR(IF(F28="",F27+(MAX('Кормовой бюджет'!$C$24:$J$24)-F27),F27),"")</f>
        <v/>
      </c>
      <c r="H27" s="30" t="str">
        <f>IF(F27="","",IF('Кормовой бюджет'!$C$4="Imperial",Q27,P27))</f>
        <v/>
      </c>
      <c r="I27" s="30" t="str">
        <f t="shared" si="3"/>
        <v/>
      </c>
      <c r="J27" s="115" t="str">
        <f t="shared" si="4"/>
        <v/>
      </c>
      <c r="K27" s="115" t="str">
        <f t="shared" si="5"/>
        <v/>
      </c>
      <c r="L27" s="115" t="str">
        <f t="shared" si="6"/>
        <v/>
      </c>
      <c r="M27" s="30" t="str">
        <f>IF(H27="","",SUM($H$5:$H27))</f>
        <v/>
      </c>
      <c r="N27" s="115" t="str">
        <f t="shared" si="7"/>
        <v/>
      </c>
      <c r="P27" s="155" t="str">
        <f>IF($F$27="","",SUM('Curve-Mixed'!$M$151:$M$157))</f>
        <v/>
      </c>
      <c r="Q27" s="155" t="str">
        <f>IF($F$27="","",SUM('Curve-Mixed'!$Q$151:$Q$157))</f>
        <v/>
      </c>
    </row>
    <row r="28" spans="1:17" x14ac:dyDescent="0.25">
      <c r="A28" s="216" t="str">
        <f t="shared" si="1"/>
        <v/>
      </c>
      <c r="B28" s="216">
        <f>MAX('Curve-Mixed'!G158:G164)</f>
        <v>0</v>
      </c>
      <c r="C28" s="216"/>
      <c r="D28" s="216" t="str">
        <f t="shared" si="0"/>
        <v/>
      </c>
      <c r="E28" s="151" t="str">
        <f t="shared" si="2"/>
        <v/>
      </c>
      <c r="F28" s="28" t="str">
        <f>IFERROR(IF('Кормовой бюджет'!$C$4="Imperial",VLOOKUP(D28,'Curve-Mixed'!$G$2:$R$185,12,FALSE),VLOOKUP(D28,'Curve-Mixed'!$G$2:$R$185,2,FALSE)),"")</f>
        <v/>
      </c>
      <c r="G28" s="28" t="str">
        <f>IFERROR(IF(F29="",F28+(MAX('Кормовой бюджет'!$C$24:$J$24)-F28),F28),"")</f>
        <v/>
      </c>
      <c r="H28" s="30" t="str">
        <f>IF(F28="","",IF('Кормовой бюджет'!$C$4="Imperial",Q28,P28))</f>
        <v/>
      </c>
      <c r="I28" s="30" t="str">
        <f t="shared" si="3"/>
        <v/>
      </c>
      <c r="J28" s="115" t="str">
        <f t="shared" si="4"/>
        <v/>
      </c>
      <c r="K28" s="115" t="str">
        <f t="shared" si="5"/>
        <v/>
      </c>
      <c r="L28" s="115" t="str">
        <f t="shared" si="6"/>
        <v/>
      </c>
      <c r="M28" s="30" t="str">
        <f>IF(H28="","",SUM($H$5:$H28))</f>
        <v/>
      </c>
      <c r="N28" s="115" t="str">
        <f t="shared" si="7"/>
        <v/>
      </c>
      <c r="P28" s="155" t="str">
        <f>IF($F$28="","",SUM('Curve-Mixed'!$M$158:$M$164))</f>
        <v/>
      </c>
      <c r="Q28" s="155" t="str">
        <f>IF($F$28="","",SUM('Curve-Mixed'!$Q$158:$Q$164))</f>
        <v/>
      </c>
    </row>
    <row r="29" spans="1:17" x14ac:dyDescent="0.25">
      <c r="A29" s="216" t="str">
        <f t="shared" si="1"/>
        <v/>
      </c>
      <c r="B29" s="216">
        <f>MAX('Curve-Mixed'!G165:G171)</f>
        <v>0</v>
      </c>
      <c r="C29" s="216"/>
      <c r="D29" s="216" t="str">
        <f t="shared" si="0"/>
        <v/>
      </c>
      <c r="E29" s="151" t="str">
        <f t="shared" si="2"/>
        <v/>
      </c>
      <c r="F29" s="28" t="str">
        <f>IFERROR(IF('Кормовой бюджет'!$C$4="Imperial",VLOOKUP(D29,'Curve-Mixed'!$G$2:$R$185,12,FALSE),VLOOKUP(D29,'Curve-Mixed'!$G$2:$R$185,2,FALSE)),"")</f>
        <v/>
      </c>
      <c r="G29" s="28" t="str">
        <f>IFERROR(IF(F30="",F29+(MAX('Кормовой бюджет'!$C$24:$J$24)-F29),F29),"")</f>
        <v/>
      </c>
      <c r="H29" s="30" t="str">
        <f>IF(F29="","",IF('Кормовой бюджет'!$C$4="Imperial",Q29,P29))</f>
        <v/>
      </c>
      <c r="I29" s="30" t="str">
        <f t="shared" si="3"/>
        <v/>
      </c>
      <c r="J29" s="115" t="str">
        <f t="shared" si="4"/>
        <v/>
      </c>
      <c r="K29" s="115" t="str">
        <f t="shared" si="5"/>
        <v/>
      </c>
      <c r="L29" s="115" t="str">
        <f t="shared" si="6"/>
        <v/>
      </c>
      <c r="M29" s="30" t="str">
        <f>IF(H29="","",SUM($H$5:$H29))</f>
        <v/>
      </c>
      <c r="N29" s="115" t="str">
        <f t="shared" si="7"/>
        <v/>
      </c>
      <c r="P29" s="155" t="str">
        <f>IF($F$29="","",SUM('Curve-Mixed'!$M$165:$M$171))</f>
        <v/>
      </c>
      <c r="Q29" s="155" t="str">
        <f>IF($F$29="","",SUM('Curve-Mixed'!$Q$165:$Q$171))</f>
        <v/>
      </c>
    </row>
    <row r="30" spans="1:17" x14ac:dyDescent="0.25">
      <c r="A30" s="216" t="str">
        <f t="shared" si="1"/>
        <v/>
      </c>
      <c r="B30" s="216">
        <f>MAX('Curve-Mixed'!G172:G178)</f>
        <v>0</v>
      </c>
      <c r="C30" s="216"/>
      <c r="D30" s="216" t="str">
        <f t="shared" si="0"/>
        <v/>
      </c>
      <c r="E30" s="151" t="str">
        <f>IF(F30="","",E29+1)</f>
        <v/>
      </c>
      <c r="F30" s="28" t="str">
        <f>IFERROR(IF('Кормовой бюджет'!$C$4="Imperial",VLOOKUP(D30,'Curve-Mixed'!$G$2:$R$185,12,FALSE),VLOOKUP(D30,'Curve-Mixed'!$G$2:$R$185,2,FALSE)),"")</f>
        <v/>
      </c>
      <c r="G30" s="28" t="str">
        <f>IFERROR(IF(F31="",F30+(MAX('Кормовой бюджет'!$C$24:$J$24)-F30),F30),"")</f>
        <v/>
      </c>
      <c r="H30" s="30" t="str">
        <f>IF(F30="","",IF('Кормовой бюджет'!$C$4="Imperial",Q30,P30))</f>
        <v/>
      </c>
      <c r="I30" s="30" t="str">
        <f t="shared" si="3"/>
        <v/>
      </c>
      <c r="J30" s="115" t="str">
        <f t="shared" si="4"/>
        <v/>
      </c>
      <c r="K30" s="115" t="str">
        <f t="shared" si="5"/>
        <v/>
      </c>
      <c r="L30" s="115" t="str">
        <f t="shared" si="6"/>
        <v/>
      </c>
      <c r="M30" s="30" t="str">
        <f>IF(H30="","",SUM($H$5:$H30))</f>
        <v/>
      </c>
      <c r="N30" s="115" t="str">
        <f t="shared" si="7"/>
        <v/>
      </c>
      <c r="P30" s="155" t="str">
        <f>IF($F$30="","",SUM('Curve-Mixed'!$Q$172:$Q$178))</f>
        <v/>
      </c>
      <c r="Q30" s="155" t="str">
        <f>IF($F$30="","",SUM('Curve-Mixed'!$Q$172:$Q$178))</f>
        <v/>
      </c>
    </row>
    <row r="31" spans="1:17" s="162" customFormat="1" x14ac:dyDescent="0.25">
      <c r="A31" s="151" t="str">
        <f t="shared" si="1"/>
        <v/>
      </c>
      <c r="B31" s="151">
        <f>MAX('Curve-Mixed'!G179:G185)</f>
        <v>0</v>
      </c>
      <c r="C31" s="151"/>
      <c r="D31" s="151" t="str">
        <f t="shared" si="0"/>
        <v/>
      </c>
      <c r="E31" s="159" t="str">
        <f t="shared" si="2"/>
        <v/>
      </c>
      <c r="F31" s="154" t="str">
        <f>IFERROR(IF('Кормовой бюджет'!$C$4="Imperial",VLOOKUP(D31,'Curve-Mixed'!$G$2:$R$185,12,FALSE),VLOOKUP(D31,'Curve-Mixed'!$G$2:$R$185,2,FALSE)),"")</f>
        <v/>
      </c>
      <c r="G31" s="154" t="str">
        <f>IFERROR(IF(F32="",F31+(MAX('Кормовой бюджет'!$C$24:$J$24)-F31),F31),"")</f>
        <v/>
      </c>
      <c r="H31" s="155" t="str">
        <f>IF(F31="","",IF('Кормовой бюджет'!$C$4="Imperial",Q31,P31))</f>
        <v/>
      </c>
      <c r="I31" s="155" t="str">
        <f t="shared" si="3"/>
        <v/>
      </c>
      <c r="J31" s="157" t="str">
        <f t="shared" si="4"/>
        <v/>
      </c>
      <c r="K31" s="157" t="str">
        <f t="shared" si="5"/>
        <v/>
      </c>
      <c r="L31" s="157" t="str">
        <f t="shared" si="6"/>
        <v/>
      </c>
      <c r="M31" s="155" t="str">
        <f>IF(H31="","",SUM($H$5:$H31))</f>
        <v/>
      </c>
      <c r="N31" s="115" t="str">
        <f t="shared" si="7"/>
        <v/>
      </c>
      <c r="P31" s="160" t="str">
        <f>IF($F$31="","",SUM('Curve-Mixed'!$Q$179:$Q$185))</f>
        <v/>
      </c>
      <c r="Q31" s="160" t="str">
        <f>IF($F$31="","",SUM('Curve-Mixed'!$Q$179:$Q$185))</f>
        <v/>
      </c>
    </row>
    <row r="32" spans="1:17" s="156" customFormat="1" x14ac:dyDescent="0.25">
      <c r="D32" s="151"/>
      <c r="E32" s="151"/>
      <c r="F32" s="154"/>
      <c r="G32" s="154"/>
    </row>
    <row r="33" spans="4:7" x14ac:dyDescent="0.25">
      <c r="D33" s="216"/>
      <c r="E33" s="216"/>
      <c r="F33" s="28"/>
      <c r="G33" s="28"/>
    </row>
  </sheetData>
  <mergeCells count="12">
    <mergeCell ref="B3:B4"/>
    <mergeCell ref="D3:D4"/>
    <mergeCell ref="E3:E4"/>
    <mergeCell ref="F3:F4"/>
    <mergeCell ref="G3:G4"/>
    <mergeCell ref="M3:M4"/>
    <mergeCell ref="N3:N4"/>
    <mergeCell ref="H3:H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392D0-6312-41F2-B503-E785C1A032FC}">
  <sheetPr codeName="Sheet20"/>
  <dimension ref="A1:Q32"/>
  <sheetViews>
    <sheetView showGridLines="0" showRowColHeaders="0" zoomScaleNormal="100" workbookViewId="0">
      <selection activeCell="S11" sqref="S11"/>
    </sheetView>
  </sheetViews>
  <sheetFormatPr defaultColWidth="8.85546875" defaultRowHeight="15" x14ac:dyDescent="0.25"/>
  <cols>
    <col min="1" max="1" width="4.85546875" style="158" customWidth="1"/>
    <col min="2" max="2" width="8.85546875" hidden="1" customWidth="1"/>
    <col min="3" max="3" width="4.28515625" hidden="1" customWidth="1"/>
    <col min="4" max="4" width="9.140625" customWidth="1"/>
    <col min="5" max="5" width="17.140625" customWidth="1"/>
    <col min="6" max="6" width="9.42578125" hidden="1" customWidth="1"/>
    <col min="7" max="8" width="17.140625" customWidth="1"/>
    <col min="9" max="9" width="13.28515625" customWidth="1"/>
    <col min="10" max="10" width="17.140625" customWidth="1"/>
    <col min="11" max="11" width="19.85546875" customWidth="1"/>
    <col min="12" max="12" width="17.140625" customWidth="1"/>
    <col min="13" max="13" width="19.140625" customWidth="1"/>
    <col min="14" max="14" width="19.7109375" customWidth="1"/>
    <col min="16" max="17" width="20.7109375" hidden="1" customWidth="1"/>
  </cols>
  <sheetData>
    <row r="1" spans="1:17" ht="15.75" thickBot="1" x14ac:dyDescent="0.3">
      <c r="A1" s="162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7" ht="16.5" thickBot="1" x14ac:dyDescent="0.3">
      <c r="A2" s="172"/>
      <c r="D2" s="248" t="s">
        <v>13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14.45" customHeight="1" x14ac:dyDescent="0.25">
      <c r="A3" s="173"/>
      <c r="C3" s="245" t="s">
        <v>0</v>
      </c>
      <c r="D3" s="246" t="s">
        <v>55</v>
      </c>
      <c r="E3" s="246" t="s">
        <v>56</v>
      </c>
      <c r="F3" s="246" t="str">
        <f>IF('Кормовой бюджет'!$C$4="Imperial","Weight, lb","Weight, kg")</f>
        <v>Weight, kg</v>
      </c>
      <c r="G3" s="246" t="str">
        <f>IF('Кормовой бюджет'!$C$4="Imperial","Weight, lb","Weight, kg")</f>
        <v>Weight, kg</v>
      </c>
      <c r="H3" s="242" t="str">
        <f>IF('Кормовой бюджет'!$C$4="Imperial","Total Feed per Week, lb","Total Feed per Week, kg")</f>
        <v>Total Feed per Week, kg</v>
      </c>
      <c r="I3" s="244" t="str">
        <f>IF('Кормовой бюджет'!$C$4="Imperial","Incremental ADFI, lb","Incremental ADFI, kg")</f>
        <v>Incremental ADFI, kg</v>
      </c>
      <c r="J3" s="242" t="str">
        <f>IF('Кормовой бюджет'!$C$4="Imperial","Incremental ADG, lb", "Incremental ADG, kg")</f>
        <v>Incremental ADG, kg</v>
      </c>
      <c r="K3" s="242" t="s">
        <v>57</v>
      </c>
      <c r="L3" s="242" t="str">
        <f>IF('Кормовой бюджет'!$C$4="Imperial","Cumulative ADG, lb","Cumulative ADG, kg")</f>
        <v>Cumulative ADG, kg</v>
      </c>
      <c r="M3" s="242" t="str">
        <f>IF('Кормовой бюджет'!$C$4="Imperial","Cumulative Feed Intake, lb","Cumulative Feed Intake, kg")</f>
        <v>Cumulative Feed Intake, kg</v>
      </c>
      <c r="N3" s="242" t="s">
        <v>58</v>
      </c>
    </row>
    <row r="4" spans="1:17" ht="15.75" thickBot="1" x14ac:dyDescent="0.3">
      <c r="A4" s="173"/>
      <c r="B4" t="s">
        <v>59</v>
      </c>
      <c r="C4" s="245"/>
      <c r="D4" s="247"/>
      <c r="E4" s="247"/>
      <c r="F4" s="247"/>
      <c r="G4" s="247"/>
      <c r="H4" s="243"/>
      <c r="I4" s="243"/>
      <c r="J4" s="243"/>
      <c r="K4" s="243"/>
      <c r="L4" s="243"/>
      <c r="M4" s="243"/>
      <c r="N4" s="243"/>
      <c r="P4" t="s">
        <v>60</v>
      </c>
      <c r="Q4" t="s">
        <v>61</v>
      </c>
    </row>
    <row r="5" spans="1:17" x14ac:dyDescent="0.25">
      <c r="C5" s="216">
        <f>'Curve-Barrows'!I3</f>
        <v>21</v>
      </c>
      <c r="D5" s="216">
        <f>IF(C5&gt;0,C5,"")</f>
        <v>21</v>
      </c>
      <c r="E5" s="216">
        <v>1</v>
      </c>
      <c r="F5" s="28">
        <f>IFERROR(IF('Кормовой бюджет'!$C$4="Imperial",VLOOKUP(D5,'Curve-Barrows'!$G$2:$R$185,12,FALSE),VLOOKUP(D5,'Curve-Barrows'!$G$2:$R$185,2,FALSE)),"")</f>
        <v>11.911087058338016</v>
      </c>
      <c r="G5" s="28">
        <f>IFERROR(IF(F6="",F5+(MAX('Кормовой бюджет'!$C$38:$J$38)-F5),F5),"")</f>
        <v>11.911087058338016</v>
      </c>
    </row>
    <row r="6" spans="1:17" x14ac:dyDescent="0.25">
      <c r="A6" s="174"/>
      <c r="B6" s="216">
        <f>IFERROR(IF(D6-D5&lt;0,"",D6-D5),"")</f>
        <v>7</v>
      </c>
      <c r="C6" s="216">
        <f>MAX('Curve-Barrows'!G4:G10)</f>
        <v>28</v>
      </c>
      <c r="D6" s="216">
        <f t="shared" ref="D6:D31" si="0">IF(C6&gt;0,C6,"")</f>
        <v>28</v>
      </c>
      <c r="E6" s="216">
        <f>IF(F6="","",E5+1)</f>
        <v>2</v>
      </c>
      <c r="F6" s="28">
        <f>IFERROR(IF('Кормовой бюджет'!$C$4="Imperial",VLOOKUP(D6,'Curve-Barrows'!$G$2:$R$185,12,FALSE),VLOOKUP(D6,'Curve-Barrows'!$G$2:$R$185,2,FALSE)),"")</f>
        <v>13.597371313019256</v>
      </c>
      <c r="G6" s="28">
        <f>IFERROR(IF(F7="",F6+(MAX('Кормовой бюджет'!$C$38:$J$38)-F6),F6),"")</f>
        <v>13.597371313019256</v>
      </c>
      <c r="H6" s="30">
        <f>IF(F6="","",IF('Кормовой бюджет'!$C$4="Imperial",Q6,P6))</f>
        <v>2.8890866230778576</v>
      </c>
      <c r="I6" s="30">
        <f>IF(F6="","",H6/B6)</f>
        <v>0.41272666043969392</v>
      </c>
      <c r="J6" s="115">
        <f>IF(G6="","",(G6-G5)/(D6-D5))</f>
        <v>0.24089775066874861</v>
      </c>
      <c r="K6" s="115">
        <f>IF(F6="","",((H6/B6)/J6))</f>
        <v>1.7132856545730981</v>
      </c>
      <c r="L6" s="115">
        <f>IF(G6="","",(G6-G5)/(D6-D5))</f>
        <v>0.24089775066874861</v>
      </c>
      <c r="M6" s="30">
        <f>IF(H6="","",SUM($H$5:$H6))</f>
        <v>2.8890866230778576</v>
      </c>
      <c r="N6" s="115">
        <f>IF(F6="","",M6/(L6*7*E5))</f>
        <v>1.7132856545730981</v>
      </c>
      <c r="P6" s="30">
        <f>IF($F$6="","",SUM('Curve-Barrows'!$M$4:$M$10))</f>
        <v>2.8890866230778576</v>
      </c>
      <c r="Q6" s="30">
        <f>IF($F$6="","",SUM('Curve-Barrows'!$Q$4:$Q$10))</f>
        <v>6.3693457257181318</v>
      </c>
    </row>
    <row r="7" spans="1:17" x14ac:dyDescent="0.25">
      <c r="A7" s="174"/>
      <c r="B7" s="216">
        <f t="shared" ref="B7:B31" si="1">IFERROR(IF(D7-D6&lt;0,"",D7-D6),"")</f>
        <v>7</v>
      </c>
      <c r="C7" s="216">
        <f>MAX('Curve-Barrows'!G11:G17)</f>
        <v>35</v>
      </c>
      <c r="D7" s="216">
        <f t="shared" si="0"/>
        <v>35</v>
      </c>
      <c r="E7" s="216">
        <f t="shared" ref="E7:E31" si="2">IF(F7="","",E6+1)</f>
        <v>3</v>
      </c>
      <c r="F7" s="28">
        <f>IFERROR(IF('Кормовой бюджет'!$C$4="Imperial",VLOOKUP(D7,'Curve-Barrows'!$G$2:$R$185,12,FALSE),VLOOKUP(D7,'Curve-Barrows'!$G$2:$R$185,2,FALSE)),"")</f>
        <v>16.889741736568553</v>
      </c>
      <c r="G7" s="28">
        <f>IFERROR(IF(F8="",F7+(MAX('Кормовой бюджет'!$C$38:$J$38)-F7),F7),"")</f>
        <v>16.889741736568553</v>
      </c>
      <c r="H7" s="30">
        <f>IF(F7="","",IF('Кормовой бюджет'!$C$4="Imperial",Q7,P7))</f>
        <v>6.1568263399678411</v>
      </c>
      <c r="I7" s="30">
        <f t="shared" ref="I7:I31" si="3">IF(F7="","",H7/B7)</f>
        <v>0.87954661999540584</v>
      </c>
      <c r="J7" s="115">
        <f>IF(G7="","",(G7-G6)/(D7-D6))</f>
        <v>0.47033863193561387</v>
      </c>
      <c r="K7" s="115">
        <f t="shared" ref="K7:K31" si="4">IF(F7="","",((H7/B7)/J7))</f>
        <v>1.8700284439229515</v>
      </c>
      <c r="L7" s="115">
        <f>IF(G7="","",(G7-$G$5)/(D7-$D$5))</f>
        <v>0.35561819130218125</v>
      </c>
      <c r="M7" s="30">
        <f>IF(H7="","",SUM($H$5:$H7))</f>
        <v>9.0459129630456978</v>
      </c>
      <c r="N7" s="115">
        <f>IF(F7="","",M7/(L7*7*E6))</f>
        <v>1.8169392230795778</v>
      </c>
      <c r="P7" s="30">
        <f>IF($F$7="","",SUM('Curve-Barrows'!$M$11:$M$17))</f>
        <v>6.1568263399678411</v>
      </c>
      <c r="Q7" s="30">
        <f>IF($F$7="","",SUM('Curve-Barrows'!$Q$11:$Q$17))</f>
        <v>13.573478627887503</v>
      </c>
    </row>
    <row r="8" spans="1:17" x14ac:dyDescent="0.25">
      <c r="A8" s="174"/>
      <c r="B8" s="216">
        <f t="shared" si="1"/>
        <v>7</v>
      </c>
      <c r="C8" s="216">
        <f>MAX('Curve-Barrows'!G18:G24)</f>
        <v>42</v>
      </c>
      <c r="D8" s="216">
        <f t="shared" si="0"/>
        <v>42</v>
      </c>
      <c r="E8" s="216">
        <f t="shared" si="2"/>
        <v>4</v>
      </c>
      <c r="F8" s="28">
        <f>IFERROR(IF('Кормовой бюджет'!$C$4="Imperial",VLOOKUP(D8,'Curve-Barrows'!$G$2:$R$185,12,FALSE),VLOOKUP(D8,'Curve-Barrows'!$G$2:$R$185,2,FALSE)),"")</f>
        <v>21.475903796150448</v>
      </c>
      <c r="G8" s="28">
        <f>IFERROR(IF(F9="",F8+(MAX('Кормовой бюджет'!$C$38:$J$38)-F8),F8),"")</f>
        <v>21.475903796150448</v>
      </c>
      <c r="H8" s="30">
        <f>IF(F8="","",IF('Кормовой бюджет'!$C$4="Imperial",Q8,P8))</f>
        <v>9.3853628424119968</v>
      </c>
      <c r="I8" s="30">
        <f t="shared" si="3"/>
        <v>1.3407661203445709</v>
      </c>
      <c r="J8" s="115">
        <f t="shared" ref="J8:J31" si="5">IF(G8="","",(G8-G7)/(D8-D7))</f>
        <v>0.65516600851169926</v>
      </c>
      <c r="K8" s="115">
        <f t="shared" si="4"/>
        <v>2.0464525065796799</v>
      </c>
      <c r="L8" s="115">
        <f>IF(G8="","",(G8-$G$5)/(D8-$D$5))</f>
        <v>0.4554674637053539</v>
      </c>
      <c r="M8" s="30">
        <f>IF(H8="","",SUM($H$5:$H8))</f>
        <v>18.431275805457695</v>
      </c>
      <c r="N8" s="115">
        <f t="shared" ref="N8:N31" si="6">IF(F8="","",M8/(L8*7*E7))</f>
        <v>1.9269868216704704</v>
      </c>
      <c r="P8" s="30">
        <f>IF($F$8="","",SUM('Curve-Barrows'!$M$18:$M$24))</f>
        <v>9.3853628424119968</v>
      </c>
      <c r="Q8" s="30">
        <f>IF($F$8="","",SUM('Curve-Barrows'!$Q$18:$Q$24))</f>
        <v>20.691183236640413</v>
      </c>
    </row>
    <row r="9" spans="1:17" x14ac:dyDescent="0.25">
      <c r="A9" s="174"/>
      <c r="B9" s="216">
        <f t="shared" si="1"/>
        <v>7</v>
      </c>
      <c r="C9" s="216">
        <f>MAX('Curve-Barrows'!G25:G31)</f>
        <v>49</v>
      </c>
      <c r="D9" s="216">
        <f t="shared" si="0"/>
        <v>49</v>
      </c>
      <c r="E9" s="216">
        <f t="shared" si="2"/>
        <v>5</v>
      </c>
      <c r="F9" s="28">
        <f>IFERROR(IF('Кормовой бюджет'!$C$4="Imperial",VLOOKUP(D9,'Curve-Barrows'!$G$2:$R$185,12,FALSE),VLOOKUP(D9,'Curve-Barrows'!$G$2:$R$185,2,FALSE)),"")</f>
        <v>27.007569401023183</v>
      </c>
      <c r="G9" s="28">
        <f>IFERROR(IF(F10="",F9+(MAX('Кормовой бюджет'!$C$38:$J$38)-F9),F9),"")</f>
        <v>27.007569401023183</v>
      </c>
      <c r="H9" s="30">
        <f>IF(F9="","",IF('Кормовой бюджет'!$C$4="Imperial",Q9,P9))</f>
        <v>12.181649003206608</v>
      </c>
      <c r="I9" s="30">
        <f t="shared" si="3"/>
        <v>1.7402355718866584</v>
      </c>
      <c r="J9" s="115">
        <f t="shared" si="5"/>
        <v>0.79023794355324795</v>
      </c>
      <c r="K9" s="115">
        <f t="shared" si="4"/>
        <v>2.2021665576596012</v>
      </c>
      <c r="L9" s="115">
        <f t="shared" ref="L9:L31" si="7">IF(G9="","",(G9-$G$5)/(D9-$D$5))</f>
        <v>0.53916008366732737</v>
      </c>
      <c r="M9" s="30">
        <f>IF(H9="","",SUM($H$5:$H9))</f>
        <v>30.612924808664303</v>
      </c>
      <c r="N9" s="115">
        <f t="shared" si="6"/>
        <v>2.0278184092003033</v>
      </c>
      <c r="P9" s="30">
        <f>IF($F$9="","",SUM('Curve-Barrows'!$M$25:$M$31))</f>
        <v>12.181649003206608</v>
      </c>
      <c r="Q9" s="30">
        <f>IF($F$9="","",SUM('Curve-Barrows'!$Q$25:$Q$31))</f>
        <v>26.855938963890875</v>
      </c>
    </row>
    <row r="10" spans="1:17" x14ac:dyDescent="0.25">
      <c r="A10" s="174"/>
      <c r="B10" s="216">
        <f t="shared" si="1"/>
        <v>7</v>
      </c>
      <c r="C10" s="216">
        <f>MAX('Curve-Barrows'!G32:G38)</f>
        <v>56</v>
      </c>
      <c r="D10" s="216">
        <f t="shared" si="0"/>
        <v>56</v>
      </c>
      <c r="E10" s="216">
        <f t="shared" si="2"/>
        <v>6</v>
      </c>
      <c r="F10" s="28">
        <f>IFERROR(IF('Кормовой бюджет'!$C$4="Imperial",VLOOKUP(D10,'Curve-Barrows'!$G$2:$R$185,12,FALSE),VLOOKUP(D10,'Curve-Barrows'!$G$2:$R$185,2,FALSE)),"")</f>
        <v>33.466744491920053</v>
      </c>
      <c r="G10" s="28">
        <f>IFERROR(IF(F11="",F10+(MAX('Кормовой бюджет'!$C$38:$J$38)-F10),F10),"")</f>
        <v>33.466744491920053</v>
      </c>
      <c r="H10" s="30">
        <f>IF(F10="","",IF('Кормовой бюджет'!$C$4="Imperial",Q10,P10))</f>
        <v>15.156705367029112</v>
      </c>
      <c r="I10" s="30">
        <f t="shared" si="3"/>
        <v>2.1652436238613015</v>
      </c>
      <c r="J10" s="115">
        <f t="shared" si="5"/>
        <v>0.92273929869955296</v>
      </c>
      <c r="K10" s="115">
        <f t="shared" si="4"/>
        <v>2.3465388619655099</v>
      </c>
      <c r="L10" s="115">
        <f t="shared" si="7"/>
        <v>0.61587592667377256</v>
      </c>
      <c r="M10" s="30">
        <f>IF(H10="","",SUM($H$5:$H10))</f>
        <v>45.769630175693415</v>
      </c>
      <c r="N10" s="115">
        <f t="shared" si="6"/>
        <v>2.1233233232027469</v>
      </c>
      <c r="P10" s="30">
        <f>IF($F$10="","",SUM('Curve-Barrows'!$M$32:$M$38))</f>
        <v>15.156705367029112</v>
      </c>
      <c r="Q10" s="30">
        <f>IF($F$10="","",SUM('Curve-Barrows'!$Q$32:$Q$38))</f>
        <v>33.414815524849132</v>
      </c>
    </row>
    <row r="11" spans="1:17" x14ac:dyDescent="0.25">
      <c r="A11" s="174"/>
      <c r="B11" s="216">
        <f t="shared" si="1"/>
        <v>7</v>
      </c>
      <c r="C11" s="216">
        <f>MAX('Curve-Barrows'!G39:G45)</f>
        <v>63</v>
      </c>
      <c r="D11" s="216">
        <f t="shared" si="0"/>
        <v>63</v>
      </c>
      <c r="E11" s="216">
        <f t="shared" si="2"/>
        <v>7</v>
      </c>
      <c r="F11" s="28">
        <f>IFERROR(IF('Кормовой бюджет'!$C$4="Imperial",VLOOKUP(D11,'Curve-Barrows'!$G$2:$R$185,12,FALSE),VLOOKUP(D11,'Curve-Barrows'!$G$2:$R$185,2,FALSE)),"")</f>
        <v>41.044682442460278</v>
      </c>
      <c r="G11" s="28">
        <f>IFERROR(IF(F12="",F11+(MAX('Кормовой бюджет'!$C$38:$J$38)-F11),F11),"")</f>
        <v>41.044682442460278</v>
      </c>
      <c r="H11" s="30">
        <f>IF(F11="","",IF('Кормовой бюджет'!$C$4="Imperial",Q11,P11))</f>
        <v>18.8820177722125</v>
      </c>
      <c r="I11" s="30">
        <f t="shared" si="3"/>
        <v>2.6974311103160713</v>
      </c>
      <c r="J11" s="115">
        <f t="shared" si="5"/>
        <v>1.0825625643628893</v>
      </c>
      <c r="K11" s="115">
        <f t="shared" si="4"/>
        <v>2.4917092084221162</v>
      </c>
      <c r="L11" s="115">
        <f t="shared" si="7"/>
        <v>0.69365703295529202</v>
      </c>
      <c r="M11" s="30">
        <f>IF(H11="","",SUM($H$5:$H11))</f>
        <v>64.651647947905914</v>
      </c>
      <c r="N11" s="115">
        <f t="shared" si="6"/>
        <v>2.2191441562733067</v>
      </c>
      <c r="P11" s="30">
        <f>IF($F$11="","",SUM('Curve-Barrows'!$M$39:$M$45))</f>
        <v>18.8820177722125</v>
      </c>
      <c r="Q11" s="30">
        <f>IF($F$11="","",SUM('Curve-Barrows'!$Q$39:$Q$45))</f>
        <v>41.627723526770296</v>
      </c>
    </row>
    <row r="12" spans="1:17" x14ac:dyDescent="0.25">
      <c r="A12" s="174"/>
      <c r="B12" s="216">
        <f t="shared" si="1"/>
        <v>7</v>
      </c>
      <c r="C12" s="216">
        <f>MAX('Curve-Barrows'!G46:G52)</f>
        <v>70</v>
      </c>
      <c r="D12" s="216">
        <f t="shared" si="0"/>
        <v>70</v>
      </c>
      <c r="E12" s="216">
        <f t="shared" si="2"/>
        <v>8</v>
      </c>
      <c r="F12" s="28">
        <f>IFERROR(IF('Кормовой бюджет'!$C$4="Imperial",VLOOKUP(D12,'Curve-Barrows'!$G$2:$R$185,12,FALSE),VLOOKUP(D12,'Curve-Barrows'!$G$2:$R$185,2,FALSE)),"")</f>
        <v>49.537001558733571</v>
      </c>
      <c r="G12" s="28">
        <f>IFERROR(IF(F13="",F12+(MAX('Кормовой бюджет'!$C$38:$J$38)-F12),F12),"")</f>
        <v>49.537001558733571</v>
      </c>
      <c r="H12" s="30">
        <f>IF(F12="","",IF('Кормовой бюджет'!$C$4="Imperial",Q12,P12))</f>
        <v>23.145992760200521</v>
      </c>
      <c r="I12" s="30">
        <f t="shared" si="3"/>
        <v>3.3065703943143601</v>
      </c>
      <c r="J12" s="115">
        <f t="shared" si="5"/>
        <v>1.2131884451818991</v>
      </c>
      <c r="K12" s="115">
        <f t="shared" si="4"/>
        <v>2.725520843399222</v>
      </c>
      <c r="L12" s="115">
        <f t="shared" si="7"/>
        <v>0.76787580613052153</v>
      </c>
      <c r="M12" s="30">
        <f>IF(H12="","",SUM($H$5:$H12))</f>
        <v>87.797640708106428</v>
      </c>
      <c r="N12" s="115">
        <f t="shared" si="6"/>
        <v>2.3334353961598309</v>
      </c>
      <c r="P12" s="30">
        <f>IF($F$12="","",SUM('Curve-Barrows'!$M$46:$M$52))</f>
        <v>23.145992760200521</v>
      </c>
      <c r="Q12" s="30">
        <f>IF($F$12="","",SUM('Curve-Barrows'!$Q$46:$Q$52))</f>
        <v>51.028179244286051</v>
      </c>
    </row>
    <row r="13" spans="1:17" x14ac:dyDescent="0.25">
      <c r="A13" s="174"/>
      <c r="B13" s="216">
        <f t="shared" si="1"/>
        <v>4</v>
      </c>
      <c r="C13" s="216">
        <f>MAX('Curve-Barrows'!G53:G59)</f>
        <v>74</v>
      </c>
      <c r="D13" s="216">
        <f t="shared" si="0"/>
        <v>74</v>
      </c>
      <c r="E13" s="216">
        <f t="shared" si="2"/>
        <v>9</v>
      </c>
      <c r="F13" s="28">
        <f>IFERROR(IF('Кормовой бюджет'!$C$4="Imperial",VLOOKUP(D13,'Curve-Barrows'!$G$2:$R$185,12,FALSE),VLOOKUP(D13,'Curve-Barrows'!$G$2:$R$185,2,FALSE)),"")</f>
        <v>54.695851161132694</v>
      </c>
      <c r="G13" s="28">
        <f>IFERROR(IF(F14="",F13+(MAX('Кормовой бюджет'!$C$38:$J$38)-F13),F13),"")</f>
        <v>54.995685233557055</v>
      </c>
      <c r="H13" s="30">
        <f>IF(F13="","",IF('Кормовой бюджет'!$C$4="Imperial",Q13,P13))</f>
        <v>15.080702508803054</v>
      </c>
      <c r="I13" s="30">
        <f t="shared" si="3"/>
        <v>3.7701756272007634</v>
      </c>
      <c r="J13" s="115">
        <f t="shared" si="5"/>
        <v>1.3646709187058708</v>
      </c>
      <c r="K13" s="115">
        <f t="shared" si="4"/>
        <v>2.7626994724677312</v>
      </c>
      <c r="L13" s="115">
        <f t="shared" si="7"/>
        <v>0.81291694670224612</v>
      </c>
      <c r="M13" s="30">
        <f>IF(H13="","",SUM($H$5:$H13))</f>
        <v>102.87834321690949</v>
      </c>
      <c r="N13" s="115">
        <f t="shared" si="6"/>
        <v>2.2599027848824282</v>
      </c>
      <c r="P13" s="30">
        <f>IF($F$13="","",SUM('Curve-Barrows'!$M$53:$M$59))</f>
        <v>15.080702508803054</v>
      </c>
      <c r="Q13" s="30">
        <f>IF($F$13="","",SUM('Curve-Barrows'!$Q$53:$Q$59))</f>
        <v>33.247257904278797</v>
      </c>
    </row>
    <row r="14" spans="1:17" x14ac:dyDescent="0.25">
      <c r="A14" s="174"/>
      <c r="B14" s="216" t="str">
        <f t="shared" si="1"/>
        <v/>
      </c>
      <c r="C14" s="216">
        <f>MAX('Curve-Barrows'!G60:G66)</f>
        <v>0</v>
      </c>
      <c r="D14" s="216" t="str">
        <f t="shared" si="0"/>
        <v/>
      </c>
      <c r="E14" s="216" t="str">
        <f t="shared" si="2"/>
        <v/>
      </c>
      <c r="F14" s="28" t="str">
        <f>IFERROR(IF('Кормовой бюджет'!$C$4="Imperial",VLOOKUP(D14,'Curve-Barrows'!$G$2:$R$185,12,FALSE),VLOOKUP(D14,'Curve-Barrows'!$G$2:$R$185,2,FALSE)),"")</f>
        <v/>
      </c>
      <c r="G14" s="28" t="str">
        <f>IFERROR(IF(F15="",F14+(MAX('Кормовой бюджет'!$C$38:$J$38)-F14),F14),"")</f>
        <v/>
      </c>
      <c r="H14" s="30" t="str">
        <f>IF(F14="","",IF('Кормовой бюджет'!$C$4="Imperial",Q14,P14))</f>
        <v/>
      </c>
      <c r="I14" s="30" t="str">
        <f t="shared" si="3"/>
        <v/>
      </c>
      <c r="J14" s="115" t="str">
        <f t="shared" si="5"/>
        <v/>
      </c>
      <c r="K14" s="115" t="str">
        <f t="shared" si="4"/>
        <v/>
      </c>
      <c r="L14" s="115" t="str">
        <f t="shared" si="7"/>
        <v/>
      </c>
      <c r="M14" s="30" t="str">
        <f>IF(H14="","",SUM($H$5:$H14))</f>
        <v/>
      </c>
      <c r="N14" s="115" t="str">
        <f t="shared" si="6"/>
        <v/>
      </c>
      <c r="P14" s="30" t="str">
        <f>IF($F$14="","",SUM('Curve-Barrows'!$M$60:$M$66))</f>
        <v/>
      </c>
      <c r="Q14" s="30" t="str">
        <f>IF($F$14="","",SUM('Curve-Barrows'!$Q$60:$Q$66))</f>
        <v/>
      </c>
    </row>
    <row r="15" spans="1:17" x14ac:dyDescent="0.25">
      <c r="A15" s="174"/>
      <c r="B15" s="216" t="str">
        <f t="shared" si="1"/>
        <v/>
      </c>
      <c r="C15" s="216">
        <f>MAX('Curve-Barrows'!G67:G73)</f>
        <v>0</v>
      </c>
      <c r="D15" s="216" t="str">
        <f t="shared" si="0"/>
        <v/>
      </c>
      <c r="E15" s="216" t="str">
        <f t="shared" si="2"/>
        <v/>
      </c>
      <c r="F15" s="28" t="str">
        <f>IFERROR(IF('Кормовой бюджет'!$C$4="Imperial",VLOOKUP(D15,'Curve-Barrows'!$G$2:$R$185,12,FALSE),VLOOKUP(D15,'Curve-Barrows'!$G$2:$R$185,2,FALSE)),"")</f>
        <v/>
      </c>
      <c r="G15" s="28" t="str">
        <f>IFERROR(IF(F16="",F15+(MAX('Кормовой бюджет'!$C$38:$J$38)-F15),F15),"")</f>
        <v/>
      </c>
      <c r="H15" s="30" t="str">
        <f>IF(F15="","",IF('Кормовой бюджет'!$C$4="Imperial",Q15,P15))</f>
        <v/>
      </c>
      <c r="I15" s="30" t="str">
        <f t="shared" si="3"/>
        <v/>
      </c>
      <c r="J15" s="115" t="str">
        <f t="shared" si="5"/>
        <v/>
      </c>
      <c r="K15" s="115" t="str">
        <f t="shared" si="4"/>
        <v/>
      </c>
      <c r="L15" s="115" t="str">
        <f t="shared" si="7"/>
        <v/>
      </c>
      <c r="M15" s="30" t="str">
        <f>IF(H15="","",SUM($H$5:$H15))</f>
        <v/>
      </c>
      <c r="N15" s="115" t="str">
        <f t="shared" si="6"/>
        <v/>
      </c>
      <c r="P15" s="30" t="str">
        <f>IF($F$15="","",SUM('Curve-Barrows'!$M$67:$M$73))</f>
        <v/>
      </c>
      <c r="Q15" s="30" t="str">
        <f>IF($F$15="","",SUM('Curve-Barrows'!$Q$67:$Q$73))</f>
        <v/>
      </c>
    </row>
    <row r="16" spans="1:17" x14ac:dyDescent="0.25">
      <c r="A16" s="174"/>
      <c r="B16" s="216" t="str">
        <f t="shared" si="1"/>
        <v/>
      </c>
      <c r="C16" s="216">
        <f>MAX('Curve-Barrows'!G74:G80)</f>
        <v>0</v>
      </c>
      <c r="D16" s="216" t="str">
        <f t="shared" si="0"/>
        <v/>
      </c>
      <c r="E16" s="216" t="str">
        <f t="shared" si="2"/>
        <v/>
      </c>
      <c r="F16" s="28" t="str">
        <f>IFERROR(IF('Кормовой бюджет'!$C$4="Imperial",VLOOKUP(D16,'Curve-Barrows'!$G$2:$R$185,12,FALSE),VLOOKUP(D16,'Curve-Barrows'!$G$2:$R$185,2,FALSE)),"")</f>
        <v/>
      </c>
      <c r="G16" s="28" t="str">
        <f>IFERROR(IF(F17="",F16+(MAX('Кормовой бюджет'!$C$38:$J$38)-F16),F16),"")</f>
        <v/>
      </c>
      <c r="H16" s="30" t="str">
        <f>IF(F16="","",IF('Кормовой бюджет'!$C$4="Imperial",Q16,P16))</f>
        <v/>
      </c>
      <c r="I16" s="30" t="str">
        <f t="shared" si="3"/>
        <v/>
      </c>
      <c r="J16" s="115" t="str">
        <f t="shared" si="5"/>
        <v/>
      </c>
      <c r="K16" s="115" t="str">
        <f t="shared" si="4"/>
        <v/>
      </c>
      <c r="L16" s="115" t="str">
        <f t="shared" si="7"/>
        <v/>
      </c>
      <c r="M16" s="30" t="str">
        <f>IF(H16="","",SUM($H$5:$H16))</f>
        <v/>
      </c>
      <c r="N16" s="115" t="str">
        <f t="shared" si="6"/>
        <v/>
      </c>
      <c r="P16" s="30" t="str">
        <f>IF($F$16="","",SUM('Curve-Barrows'!$M$74:$M$80))</f>
        <v/>
      </c>
      <c r="Q16" s="30" t="str">
        <f>IF($F$16="","",SUM('Curve-Barrows'!$Q$74:$Q$80))</f>
        <v/>
      </c>
    </row>
    <row r="17" spans="1:17" x14ac:dyDescent="0.25">
      <c r="A17" s="174"/>
      <c r="B17" s="216" t="str">
        <f t="shared" si="1"/>
        <v/>
      </c>
      <c r="C17" s="216">
        <f>MAX('Curve-Barrows'!G81:G87)</f>
        <v>0</v>
      </c>
      <c r="D17" s="216" t="str">
        <f t="shared" si="0"/>
        <v/>
      </c>
      <c r="E17" s="216" t="str">
        <f t="shared" si="2"/>
        <v/>
      </c>
      <c r="F17" s="28" t="str">
        <f>IFERROR(IF('Кормовой бюджет'!$C$4="Imperial",VLOOKUP(D17,'Curve-Barrows'!$G$2:$R$185,12,FALSE),VLOOKUP(D17,'Curve-Barrows'!$G$2:$R$185,2,FALSE)),"")</f>
        <v/>
      </c>
      <c r="G17" s="28" t="str">
        <f>IFERROR(IF(F18="",F17+(MAX('Кормовой бюджет'!$C$38:$J$38)-F17),F17),"")</f>
        <v/>
      </c>
      <c r="H17" s="30" t="str">
        <f>IF(F17="","",IF('Кормовой бюджет'!$C$4="Imperial",Q17,P17))</f>
        <v/>
      </c>
      <c r="I17" s="30" t="str">
        <f t="shared" si="3"/>
        <v/>
      </c>
      <c r="J17" s="115" t="str">
        <f t="shared" si="5"/>
        <v/>
      </c>
      <c r="K17" s="115" t="str">
        <f t="shared" si="4"/>
        <v/>
      </c>
      <c r="L17" s="115" t="str">
        <f t="shared" si="7"/>
        <v/>
      </c>
      <c r="M17" s="30" t="str">
        <f>IF(H17="","",SUM($H$5:$H17))</f>
        <v/>
      </c>
      <c r="N17" s="115" t="str">
        <f t="shared" si="6"/>
        <v/>
      </c>
      <c r="P17" s="30" t="str">
        <f>IF($F$17="","",SUM('Curve-Barrows'!$M$81:$M$87))</f>
        <v/>
      </c>
      <c r="Q17" s="30" t="str">
        <f>IF($F$17="","",SUM('Curve-Barrows'!$Q$81:$Q$87))</f>
        <v/>
      </c>
    </row>
    <row r="18" spans="1:17" x14ac:dyDescent="0.25">
      <c r="A18" s="174"/>
      <c r="B18" s="216" t="str">
        <f t="shared" si="1"/>
        <v/>
      </c>
      <c r="C18" s="216">
        <f>MAX('Curve-Barrows'!G88:G94)</f>
        <v>0</v>
      </c>
      <c r="D18" s="216" t="str">
        <f t="shared" si="0"/>
        <v/>
      </c>
      <c r="E18" s="216" t="str">
        <f t="shared" si="2"/>
        <v/>
      </c>
      <c r="F18" s="28" t="str">
        <f>IFERROR(IF('Кормовой бюджет'!$C$4="Imperial",VLOOKUP(D18,'Curve-Barrows'!$G$2:$R$185,12,FALSE),VLOOKUP(D18,'Curve-Barrows'!$G$2:$R$185,2,FALSE)),"")</f>
        <v/>
      </c>
      <c r="G18" s="28" t="str">
        <f>IFERROR(IF(F19="",F18+(MAX('Кормовой бюджет'!$C$38:$J$38)-F18),F18),"")</f>
        <v/>
      </c>
      <c r="H18" s="30" t="str">
        <f>IF(F18="","",IF('Кормовой бюджет'!$C$4="Imperial",Q18,P18))</f>
        <v/>
      </c>
      <c r="I18" s="30" t="str">
        <f t="shared" si="3"/>
        <v/>
      </c>
      <c r="J18" s="115" t="str">
        <f t="shared" si="5"/>
        <v/>
      </c>
      <c r="K18" s="115" t="str">
        <f t="shared" si="4"/>
        <v/>
      </c>
      <c r="L18" s="115" t="str">
        <f t="shared" si="7"/>
        <v/>
      </c>
      <c r="M18" s="30" t="str">
        <f>IF(H18="","",SUM($H$5:$H18))</f>
        <v/>
      </c>
      <c r="N18" s="115" t="str">
        <f t="shared" si="6"/>
        <v/>
      </c>
      <c r="P18" s="30" t="str">
        <f>IF($F$18="","",SUM('Curve-Barrows'!$M$88:$M$94))</f>
        <v/>
      </c>
      <c r="Q18" s="30" t="str">
        <f>IF($F$18="","",SUM('Curve-Barrows'!$Q$88:$Q$94))</f>
        <v/>
      </c>
    </row>
    <row r="19" spans="1:17" x14ac:dyDescent="0.25">
      <c r="A19" s="174"/>
      <c r="B19" s="216" t="str">
        <f t="shared" si="1"/>
        <v/>
      </c>
      <c r="C19" s="216">
        <f>MAX('Curve-Barrows'!G95:G101)</f>
        <v>0</v>
      </c>
      <c r="D19" s="216" t="str">
        <f t="shared" si="0"/>
        <v/>
      </c>
      <c r="E19" s="216" t="str">
        <f t="shared" si="2"/>
        <v/>
      </c>
      <c r="F19" s="28" t="str">
        <f>IFERROR(IF('Кормовой бюджет'!$C$4="Imperial",VLOOKUP(D19,'Curve-Barrows'!$G$2:$R$185,12,FALSE),VLOOKUP(D19,'Curve-Barrows'!$G$2:$R$185,2,FALSE)),"")</f>
        <v/>
      </c>
      <c r="G19" s="28" t="str">
        <f>IFERROR(IF(F20="",F19+(MAX('Кормовой бюджет'!$C$38:$J$38)-F19),F19),"")</f>
        <v/>
      </c>
      <c r="H19" s="30" t="str">
        <f>IF(F19="","",IF('Кормовой бюджет'!$C$4="Imperial",Q19,P19))</f>
        <v/>
      </c>
      <c r="I19" s="30" t="str">
        <f t="shared" si="3"/>
        <v/>
      </c>
      <c r="J19" s="115" t="str">
        <f t="shared" si="5"/>
        <v/>
      </c>
      <c r="K19" s="115" t="str">
        <f t="shared" si="4"/>
        <v/>
      </c>
      <c r="L19" s="115" t="str">
        <f t="shared" si="7"/>
        <v/>
      </c>
      <c r="M19" s="30" t="str">
        <f>IF(H19="","",SUM($H$5:$H19))</f>
        <v/>
      </c>
      <c r="N19" s="115" t="str">
        <f t="shared" si="6"/>
        <v/>
      </c>
      <c r="P19" s="30" t="str">
        <f>IF($F$19="","",SUM('Curve-Barrows'!$M$95:$M$101))</f>
        <v/>
      </c>
      <c r="Q19" s="30" t="str">
        <f>IF($F$19="","",SUM('Curve-Barrows'!$Q$95:$Q$101))</f>
        <v/>
      </c>
    </row>
    <row r="20" spans="1:17" x14ac:dyDescent="0.25">
      <c r="A20" s="174"/>
      <c r="B20" s="216" t="str">
        <f t="shared" si="1"/>
        <v/>
      </c>
      <c r="C20" s="216">
        <f>MAX('Curve-Barrows'!G102:G108)</f>
        <v>0</v>
      </c>
      <c r="D20" s="216" t="str">
        <f t="shared" si="0"/>
        <v/>
      </c>
      <c r="E20" s="216" t="str">
        <f t="shared" si="2"/>
        <v/>
      </c>
      <c r="F20" s="28" t="str">
        <f>IFERROR(IF('Кормовой бюджет'!$C$4="Imperial",VLOOKUP(D20,'Curve-Barrows'!$G$2:$R$185,12,FALSE),VLOOKUP(D20,'Curve-Barrows'!$G$2:$R$185,2,FALSE)),"")</f>
        <v/>
      </c>
      <c r="G20" s="28" t="str">
        <f>IFERROR(IF(F21="",F20+(MAX('Кормовой бюджет'!$C$38:$J$38)-F20),F20),"")</f>
        <v/>
      </c>
      <c r="H20" s="30" t="str">
        <f>IF(F20="","",IF('Кормовой бюджет'!$C$4="Imperial",Q20,P20))</f>
        <v/>
      </c>
      <c r="I20" s="30" t="str">
        <f t="shared" si="3"/>
        <v/>
      </c>
      <c r="J20" s="115" t="str">
        <f t="shared" si="5"/>
        <v/>
      </c>
      <c r="K20" s="115" t="str">
        <f t="shared" si="4"/>
        <v/>
      </c>
      <c r="L20" s="115" t="str">
        <f t="shared" si="7"/>
        <v/>
      </c>
      <c r="M20" s="30" t="str">
        <f>IF(H20="","",SUM($H$5:$H20))</f>
        <v/>
      </c>
      <c r="N20" s="115" t="str">
        <f t="shared" si="6"/>
        <v/>
      </c>
      <c r="P20" s="30" t="str">
        <f>IF($F$20="","",SUM('Curve-Barrows'!$M$102:$M$108))</f>
        <v/>
      </c>
      <c r="Q20" s="30" t="str">
        <f>IF($F$20="","",SUM('Curve-Barrows'!$Q$102:$Q$108))</f>
        <v/>
      </c>
    </row>
    <row r="21" spans="1:17" x14ac:dyDescent="0.25">
      <c r="A21" s="174"/>
      <c r="B21" s="216" t="str">
        <f t="shared" si="1"/>
        <v/>
      </c>
      <c r="C21" s="216">
        <f>MAX('Curve-Barrows'!G109:G115)</f>
        <v>0</v>
      </c>
      <c r="D21" s="216" t="str">
        <f t="shared" si="0"/>
        <v/>
      </c>
      <c r="E21" s="216" t="str">
        <f t="shared" si="2"/>
        <v/>
      </c>
      <c r="F21" s="28" t="str">
        <f>IFERROR(IF('Кормовой бюджет'!$C$4="Imperial",VLOOKUP(D21,'Curve-Barrows'!$G$2:$R$185,12,FALSE),VLOOKUP(D21,'Curve-Barrows'!$G$2:$R$185,2,FALSE)),"")</f>
        <v/>
      </c>
      <c r="G21" s="28" t="str">
        <f>IFERROR(IF(F22="",F21+(MAX('Кормовой бюджет'!$C$38:$J$38)-F21),F21),"")</f>
        <v/>
      </c>
      <c r="H21" s="30" t="str">
        <f>IF(F21="","",IF('Кормовой бюджет'!$C$4="Imperial",Q21,P21))</f>
        <v/>
      </c>
      <c r="I21" s="30" t="str">
        <f t="shared" si="3"/>
        <v/>
      </c>
      <c r="J21" s="115" t="str">
        <f t="shared" si="5"/>
        <v/>
      </c>
      <c r="K21" s="115" t="str">
        <f t="shared" si="4"/>
        <v/>
      </c>
      <c r="L21" s="115" t="str">
        <f t="shared" si="7"/>
        <v/>
      </c>
      <c r="M21" s="30" t="str">
        <f>IF(H21="","",SUM($H$5:$H21))</f>
        <v/>
      </c>
      <c r="N21" s="115" t="str">
        <f t="shared" si="6"/>
        <v/>
      </c>
      <c r="P21" s="30" t="str">
        <f>IF($F$21="","",SUM('Curve-Barrows'!$M$109:$M$115))</f>
        <v/>
      </c>
      <c r="Q21" s="30" t="str">
        <f>IF($F$21="","",SUM('Curve-Barrows'!$Q$109:$Q$115))</f>
        <v/>
      </c>
    </row>
    <row r="22" spans="1:17" x14ac:dyDescent="0.25">
      <c r="A22" s="174"/>
      <c r="B22" s="216" t="str">
        <f t="shared" si="1"/>
        <v/>
      </c>
      <c r="C22" s="216">
        <f>MAX('Curve-Barrows'!G116:G122)</f>
        <v>0</v>
      </c>
      <c r="D22" s="216" t="str">
        <f t="shared" si="0"/>
        <v/>
      </c>
      <c r="E22" s="216" t="str">
        <f t="shared" si="2"/>
        <v/>
      </c>
      <c r="F22" s="28" t="str">
        <f>IFERROR(IF('Кормовой бюджет'!$C$4="Imperial",VLOOKUP(D22,'Curve-Barrows'!$G$2:$R$185,12,FALSE),VLOOKUP(D22,'Curve-Barrows'!$G$2:$R$185,2,FALSE)),"")</f>
        <v/>
      </c>
      <c r="G22" s="28" t="str">
        <f>IFERROR(IF(F23="",F22+(MAX('Кормовой бюджет'!$C$38:$J$38)-F22),F22),"")</f>
        <v/>
      </c>
      <c r="H22" s="30" t="str">
        <f>IF(F22="","",IF('Кормовой бюджет'!$C$4="Imperial",Q22,P22))</f>
        <v/>
      </c>
      <c r="I22" s="30" t="str">
        <f t="shared" si="3"/>
        <v/>
      </c>
      <c r="J22" s="115" t="str">
        <f t="shared" si="5"/>
        <v/>
      </c>
      <c r="K22" s="115" t="str">
        <f t="shared" si="4"/>
        <v/>
      </c>
      <c r="L22" s="115" t="str">
        <f t="shared" si="7"/>
        <v/>
      </c>
      <c r="M22" s="30" t="str">
        <f>IF(H22="","",SUM($H$5:$H22))</f>
        <v/>
      </c>
      <c r="N22" s="115" t="str">
        <f t="shared" si="6"/>
        <v/>
      </c>
      <c r="P22" s="30" t="str">
        <f>IF($F$22="","",SUM('Curve-Barrows'!$M$116:$M$122))</f>
        <v/>
      </c>
      <c r="Q22" s="30" t="str">
        <f>IF($F$22="","",SUM('Curve-Barrows'!$Q$116:$Q$122))</f>
        <v/>
      </c>
    </row>
    <row r="23" spans="1:17" x14ac:dyDescent="0.25">
      <c r="A23" s="174"/>
      <c r="B23" s="216" t="str">
        <f t="shared" si="1"/>
        <v/>
      </c>
      <c r="C23" s="216">
        <f>MAX('Curve-Barrows'!G123:G129)</f>
        <v>0</v>
      </c>
      <c r="D23" s="216" t="str">
        <f t="shared" si="0"/>
        <v/>
      </c>
      <c r="E23" s="216" t="str">
        <f t="shared" si="2"/>
        <v/>
      </c>
      <c r="F23" s="28" t="str">
        <f>IFERROR(IF('Кормовой бюджет'!$C$4="Imperial",VLOOKUP(D23,'Curve-Barrows'!$G$2:$R$185,12,FALSE),VLOOKUP(D23,'Curve-Barrows'!$G$2:$R$185,2,FALSE)),"")</f>
        <v/>
      </c>
      <c r="G23" s="28" t="str">
        <f>IFERROR(IF(F24="",F23+(MAX('Кормовой бюджет'!$C$38:$J$38)-F23),F23),"")</f>
        <v/>
      </c>
      <c r="H23" s="30" t="str">
        <f>IF(F23="","",IF('Кормовой бюджет'!$C$4="Imperial",Q23,P23))</f>
        <v/>
      </c>
      <c r="I23" s="30" t="str">
        <f t="shared" si="3"/>
        <v/>
      </c>
      <c r="J23" s="115" t="str">
        <f t="shared" si="5"/>
        <v/>
      </c>
      <c r="K23" s="115" t="str">
        <f t="shared" si="4"/>
        <v/>
      </c>
      <c r="L23" s="115" t="str">
        <f t="shared" si="7"/>
        <v/>
      </c>
      <c r="M23" s="30" t="str">
        <f>IF(H23="","",SUM($H$5:$H23))</f>
        <v/>
      </c>
      <c r="N23" s="115" t="str">
        <f t="shared" si="6"/>
        <v/>
      </c>
      <c r="P23" s="30" t="str">
        <f>IF($F$23="","",SUM('Curve-Barrows'!$M$123:$M$129))</f>
        <v/>
      </c>
      <c r="Q23" s="30" t="str">
        <f>IF($F$23="","",SUM('Curve-Barrows'!$Q$123:$Q$129))</f>
        <v/>
      </c>
    </row>
    <row r="24" spans="1:17" x14ac:dyDescent="0.25">
      <c r="A24" s="174"/>
      <c r="B24" s="216" t="str">
        <f t="shared" si="1"/>
        <v/>
      </c>
      <c r="C24" s="216">
        <f>MAX('Curve-Barrows'!G130:G136)</f>
        <v>0</v>
      </c>
      <c r="D24" s="216" t="str">
        <f t="shared" si="0"/>
        <v/>
      </c>
      <c r="E24" s="216" t="str">
        <f t="shared" si="2"/>
        <v/>
      </c>
      <c r="F24" s="28" t="str">
        <f>IFERROR(IF('Кормовой бюджет'!$C$4="Imperial",VLOOKUP(D24,'Curve-Barrows'!$G$2:$R$185,12,FALSE),VLOOKUP(D24,'Curve-Barrows'!$G$2:$R$185,2,FALSE)),"")</f>
        <v/>
      </c>
      <c r="G24" s="28" t="str">
        <f>IFERROR(IF(F25="",F24+(MAX('Кормовой бюджет'!$C$38:$J$38)-F24),F24),"")</f>
        <v/>
      </c>
      <c r="H24" s="30" t="str">
        <f>IF(F24="","",IF('Кормовой бюджет'!$C$4="Imperial",Q24,P24))</f>
        <v/>
      </c>
      <c r="I24" s="30" t="str">
        <f t="shared" si="3"/>
        <v/>
      </c>
      <c r="J24" s="115" t="str">
        <f t="shared" si="5"/>
        <v/>
      </c>
      <c r="K24" s="115" t="str">
        <f t="shared" si="4"/>
        <v/>
      </c>
      <c r="L24" s="115" t="str">
        <f t="shared" si="7"/>
        <v/>
      </c>
      <c r="M24" s="30" t="str">
        <f>IF(H24="","",SUM($H$5:$H24))</f>
        <v/>
      </c>
      <c r="N24" s="115" t="str">
        <f t="shared" si="6"/>
        <v/>
      </c>
      <c r="P24" s="30" t="str">
        <f>IF($F$24="","",SUM('Curve-Barrows'!$M$130:$M$136))</f>
        <v/>
      </c>
      <c r="Q24" s="30" t="str">
        <f>IF($F$24="","",SUM('Curve-Barrows'!$Q$130:$Q$136))</f>
        <v/>
      </c>
    </row>
    <row r="25" spans="1:17" x14ac:dyDescent="0.25">
      <c r="A25" s="174"/>
      <c r="B25" s="216" t="str">
        <f t="shared" si="1"/>
        <v/>
      </c>
      <c r="C25" s="216">
        <f>MAX('Curve-Barrows'!G137:G143)</f>
        <v>0</v>
      </c>
      <c r="D25" s="216" t="str">
        <f t="shared" si="0"/>
        <v/>
      </c>
      <c r="E25" s="216" t="str">
        <f t="shared" si="2"/>
        <v/>
      </c>
      <c r="F25" s="28" t="str">
        <f>IFERROR(IF('Кормовой бюджет'!$C$4="Imperial",VLOOKUP(D25,'Curve-Barrows'!$G$2:$R$185,12,FALSE),VLOOKUP(D25,'Curve-Barrows'!$G$2:$R$185,2,FALSE)),"")</f>
        <v/>
      </c>
      <c r="G25" s="28" t="str">
        <f>IFERROR(IF(F26="",F25+(MAX('Кормовой бюджет'!$C$38:$J$38)-F25),F25),"")</f>
        <v/>
      </c>
      <c r="H25" s="30" t="str">
        <f>IF(F25="","",IF('Кормовой бюджет'!$C$4="Imperial",Q25,P25))</f>
        <v/>
      </c>
      <c r="I25" s="30" t="str">
        <f t="shared" si="3"/>
        <v/>
      </c>
      <c r="J25" s="115" t="str">
        <f t="shared" si="5"/>
        <v/>
      </c>
      <c r="K25" s="115" t="str">
        <f t="shared" si="4"/>
        <v/>
      </c>
      <c r="L25" s="115" t="str">
        <f t="shared" si="7"/>
        <v/>
      </c>
      <c r="M25" s="30" t="str">
        <f>IF(H25="","",SUM($H$5:$H25))</f>
        <v/>
      </c>
      <c r="N25" s="115" t="str">
        <f t="shared" si="6"/>
        <v/>
      </c>
      <c r="P25" s="30" t="str">
        <f>IF($F$25="","",SUM('Curve-Barrows'!$M$137:$M$143))</f>
        <v/>
      </c>
      <c r="Q25" s="30" t="str">
        <f>IF($F$25="","",SUM('Curve-Barrows'!$Q$137:$Q$143))</f>
        <v/>
      </c>
    </row>
    <row r="26" spans="1:17" x14ac:dyDescent="0.25">
      <c r="A26" s="174"/>
      <c r="B26" s="216" t="str">
        <f t="shared" si="1"/>
        <v/>
      </c>
      <c r="C26" s="216">
        <f>MAX('Curve-Barrows'!G144:G150)</f>
        <v>0</v>
      </c>
      <c r="D26" s="216" t="str">
        <f t="shared" si="0"/>
        <v/>
      </c>
      <c r="E26" s="216" t="str">
        <f t="shared" si="2"/>
        <v/>
      </c>
      <c r="F26" s="28" t="str">
        <f>IFERROR(IF('Кормовой бюджет'!$C$4="Imperial",VLOOKUP(D26,'Curve-Barrows'!$G$2:$R$185,12,FALSE),VLOOKUP(D26,'Curve-Barrows'!$G$2:$R$185,2,FALSE)),"")</f>
        <v/>
      </c>
      <c r="G26" s="28" t="str">
        <f>IFERROR(IF(F27="",F26+(MAX('Кормовой бюджет'!$C$38:$J$38)-F26),F26),"")</f>
        <v/>
      </c>
      <c r="H26" s="30" t="str">
        <f>IF(F26="","",IF('Кормовой бюджет'!$C$4="Imperial",Q26,P26))</f>
        <v/>
      </c>
      <c r="I26" s="30" t="str">
        <f t="shared" si="3"/>
        <v/>
      </c>
      <c r="J26" s="115" t="str">
        <f t="shared" si="5"/>
        <v/>
      </c>
      <c r="K26" s="115" t="str">
        <f t="shared" si="4"/>
        <v/>
      </c>
      <c r="L26" s="115" t="str">
        <f t="shared" si="7"/>
        <v/>
      </c>
      <c r="M26" s="30" t="str">
        <f>IF(H26="","",SUM($H$5:$H26))</f>
        <v/>
      </c>
      <c r="N26" s="115" t="str">
        <f t="shared" si="6"/>
        <v/>
      </c>
      <c r="P26" s="30" t="str">
        <f>IF($F$26="","",SUM('Curve-Barrows'!$M$144:$M$150))</f>
        <v/>
      </c>
      <c r="Q26" s="30" t="str">
        <f>IF($F$26="","",SUM('Curve-Barrows'!$Q$144:$Q$150))</f>
        <v/>
      </c>
    </row>
    <row r="27" spans="1:17" x14ac:dyDescent="0.25">
      <c r="A27" s="174"/>
      <c r="B27" s="216" t="str">
        <f t="shared" si="1"/>
        <v/>
      </c>
      <c r="C27" s="216">
        <f>MAX('Curve-Barrows'!G151:G157)</f>
        <v>0</v>
      </c>
      <c r="D27" s="216" t="str">
        <f t="shared" si="0"/>
        <v/>
      </c>
      <c r="E27" s="216" t="str">
        <f t="shared" si="2"/>
        <v/>
      </c>
      <c r="F27" s="28" t="str">
        <f>IFERROR(IF('Кормовой бюджет'!$C$4="Imperial",VLOOKUP(D27,'Curve-Barrows'!$G$2:$R$185,12,FALSE),VLOOKUP(D27,'Curve-Barrows'!$G$2:$R$185,2,FALSE)),"")</f>
        <v/>
      </c>
      <c r="G27" s="28" t="str">
        <f>IFERROR(IF(F28="",F27+(MAX('Кормовой бюджет'!$C$38:$J$38)-F27),F27),"")</f>
        <v/>
      </c>
      <c r="H27" s="30" t="str">
        <f>IF(F27="","",IF('Кормовой бюджет'!$C$4="Imperial",Q27,P27))</f>
        <v/>
      </c>
      <c r="I27" s="30" t="str">
        <f t="shared" si="3"/>
        <v/>
      </c>
      <c r="J27" s="115" t="str">
        <f t="shared" si="5"/>
        <v/>
      </c>
      <c r="K27" s="115" t="str">
        <f t="shared" si="4"/>
        <v/>
      </c>
      <c r="L27" s="115" t="str">
        <f t="shared" si="7"/>
        <v/>
      </c>
      <c r="M27" s="30" t="str">
        <f>IF(H27="","",SUM($H$5:$H27))</f>
        <v/>
      </c>
      <c r="N27" s="115" t="str">
        <f t="shared" si="6"/>
        <v/>
      </c>
      <c r="P27" s="30" t="str">
        <f>IF($F$27="","",SUM('Curve-Barrows'!$M$151:$M$157))</f>
        <v/>
      </c>
      <c r="Q27" s="30" t="str">
        <f>IF($F$27="","",SUM('Curve-Barrows'!$Q$151:$Q$157))</f>
        <v/>
      </c>
    </row>
    <row r="28" spans="1:17" x14ac:dyDescent="0.25">
      <c r="A28" s="174"/>
      <c r="B28" s="216" t="str">
        <f t="shared" si="1"/>
        <v/>
      </c>
      <c r="C28" s="216">
        <f>MAX('Curve-Barrows'!G158:G164)</f>
        <v>0</v>
      </c>
      <c r="D28" s="216" t="str">
        <f t="shared" si="0"/>
        <v/>
      </c>
      <c r="E28" s="216" t="str">
        <f t="shared" si="2"/>
        <v/>
      </c>
      <c r="F28" s="28" t="str">
        <f>IFERROR(IF('Кормовой бюджет'!$C$4="Imperial",VLOOKUP(D28,'Curve-Barrows'!$G$2:$R$185,12,FALSE),VLOOKUP(D28,'Curve-Barrows'!$G$2:$R$185,2,FALSE)),"")</f>
        <v/>
      </c>
      <c r="G28" s="28" t="str">
        <f>IFERROR(IF(F29="",F28+(MAX('Кормовой бюджет'!$C$38:$J$38)-F28),F28),"")</f>
        <v/>
      </c>
      <c r="H28" s="30" t="str">
        <f>IF(F28="","",IF('Кормовой бюджет'!$C$4="Imperial",Q28,P28))</f>
        <v/>
      </c>
      <c r="I28" s="30" t="str">
        <f t="shared" si="3"/>
        <v/>
      </c>
      <c r="J28" s="115" t="str">
        <f t="shared" si="5"/>
        <v/>
      </c>
      <c r="K28" s="115" t="str">
        <f t="shared" si="4"/>
        <v/>
      </c>
      <c r="L28" s="115" t="str">
        <f t="shared" si="7"/>
        <v/>
      </c>
      <c r="M28" s="30" t="str">
        <f>IF(H28="","",SUM($H$5:$H28))</f>
        <v/>
      </c>
      <c r="N28" s="115" t="str">
        <f t="shared" si="6"/>
        <v/>
      </c>
      <c r="P28" s="155" t="str">
        <f>IF($F$28="","",SUM('Curve-Barrows'!$M$158:$M$164))</f>
        <v/>
      </c>
      <c r="Q28" s="155" t="str">
        <f>IF($F$28="","",SUM('Curve-Barrows'!$Q$158:$Q$164))</f>
        <v/>
      </c>
    </row>
    <row r="29" spans="1:17" x14ac:dyDescent="0.25">
      <c r="A29" s="174"/>
      <c r="B29" s="216" t="str">
        <f t="shared" si="1"/>
        <v/>
      </c>
      <c r="C29" s="216">
        <f>MAX('Curve-Barrows'!G165:G171)</f>
        <v>0</v>
      </c>
      <c r="D29" s="216" t="str">
        <f t="shared" si="0"/>
        <v/>
      </c>
      <c r="E29" s="216" t="str">
        <f t="shared" si="2"/>
        <v/>
      </c>
      <c r="F29" s="28" t="str">
        <f>IFERROR(IF('Кормовой бюджет'!$C$4="Imperial",VLOOKUP(D29,'Curve-Barrows'!$G$2:$R$185,12,FALSE),VLOOKUP(D29,'Curve-Barrows'!$G$2:$R$185,2,FALSE)),"")</f>
        <v/>
      </c>
      <c r="G29" s="28" t="str">
        <f>IFERROR(IF(F30="",F29+(MAX('Кормовой бюджет'!$C$38:$J$38)-F29),F29),"")</f>
        <v/>
      </c>
      <c r="H29" s="30" t="str">
        <f>IF(F29="","",IF('Кормовой бюджет'!$C$4="Imperial",Q29,P29))</f>
        <v/>
      </c>
      <c r="I29" s="30" t="str">
        <f t="shared" si="3"/>
        <v/>
      </c>
      <c r="J29" s="115" t="str">
        <f t="shared" si="5"/>
        <v/>
      </c>
      <c r="K29" s="115" t="str">
        <f t="shared" si="4"/>
        <v/>
      </c>
      <c r="L29" s="115" t="str">
        <f t="shared" si="7"/>
        <v/>
      </c>
      <c r="M29" s="30" t="str">
        <f>IF(H29="","",SUM($H$5:$H29))</f>
        <v/>
      </c>
      <c r="N29" s="115" t="str">
        <f t="shared" si="6"/>
        <v/>
      </c>
      <c r="P29" s="155" t="str">
        <f>IF($F$29="","",SUM('Curve-Barrows'!$M$165:$M$171))</f>
        <v/>
      </c>
      <c r="Q29" s="155" t="str">
        <f>IF($F$29="","",SUM('Curve-Barrows'!$Q$165:$Q$171))</f>
        <v/>
      </c>
    </row>
    <row r="30" spans="1:17" x14ac:dyDescent="0.25">
      <c r="A30" s="174"/>
      <c r="B30" s="216" t="str">
        <f t="shared" si="1"/>
        <v/>
      </c>
      <c r="C30" s="216">
        <f>MAX('Curve-Barrows'!G172:G178)</f>
        <v>0</v>
      </c>
      <c r="D30" s="216" t="str">
        <f t="shared" si="0"/>
        <v/>
      </c>
      <c r="E30" s="216" t="str">
        <f t="shared" si="2"/>
        <v/>
      </c>
      <c r="F30" s="28" t="str">
        <f>IFERROR(IF('Кормовой бюджет'!$C$4="Imperial",VLOOKUP(D30,'Curve-Barrows'!$G$2:$R$185,12,FALSE),VLOOKUP(D30,'Curve-Barrows'!$G$2:$R$185,2,FALSE)),"")</f>
        <v/>
      </c>
      <c r="G30" s="28" t="str">
        <f>IFERROR(IF(F31="",F30+(MAX('Кормовой бюджет'!$C$38:$J$38)-F30),F30),"")</f>
        <v/>
      </c>
      <c r="H30" s="30" t="str">
        <f>IF(F30="","",IF('Кормовой бюджет'!$C$4="Imperial",Q30,P30))</f>
        <v/>
      </c>
      <c r="I30" s="30" t="str">
        <f t="shared" si="3"/>
        <v/>
      </c>
      <c r="J30" s="115" t="str">
        <f t="shared" si="5"/>
        <v/>
      </c>
      <c r="K30" s="115" t="str">
        <f t="shared" si="4"/>
        <v/>
      </c>
      <c r="L30" s="115" t="str">
        <f t="shared" si="7"/>
        <v/>
      </c>
      <c r="M30" s="30" t="str">
        <f>IF(H30="","",SUM($H$5:$H30))</f>
        <v/>
      </c>
      <c r="N30" s="115" t="str">
        <f t="shared" si="6"/>
        <v/>
      </c>
      <c r="P30" s="155" t="str">
        <f>IF($F$30="","",SUM('Curve-Barrows'!$M$172:$M$178))</f>
        <v/>
      </c>
      <c r="Q30" s="155" t="str">
        <f>IF($F$30="","",SUM('Curve-Barrows'!$Q$172:$Q$178))</f>
        <v/>
      </c>
    </row>
    <row r="31" spans="1:17" s="162" customFormat="1" x14ac:dyDescent="0.25">
      <c r="A31" s="161"/>
      <c r="B31" s="151" t="str">
        <f t="shared" si="1"/>
        <v/>
      </c>
      <c r="C31" s="151">
        <f>MAX('Curve-Barrows'!G179:G185)</f>
        <v>0</v>
      </c>
      <c r="D31" s="151" t="str">
        <f t="shared" si="0"/>
        <v/>
      </c>
      <c r="E31" s="151" t="str">
        <f t="shared" si="2"/>
        <v/>
      </c>
      <c r="F31" s="154" t="str">
        <f>IFERROR(IF('Кормовой бюджет'!$C$4="Imperial",VLOOKUP(D31,'Curve-Barrows'!$G$2:$R$185,12,FALSE),VLOOKUP(D31,'Curve-Barrows'!$G$2:$R$185,2,FALSE)),"")</f>
        <v/>
      </c>
      <c r="G31" s="154" t="str">
        <f>IFERROR(IF(F32="",F31+(MAX('Кормовой бюджет'!$C$38:$J$38)-F31),F31),"")</f>
        <v/>
      </c>
      <c r="H31" s="155" t="str">
        <f>IF(F31="","",IF('Кормовой бюджет'!$C$4="Imperial",Q31,P31))</f>
        <v/>
      </c>
      <c r="I31" s="155" t="str">
        <f t="shared" si="3"/>
        <v/>
      </c>
      <c r="J31" s="157" t="str">
        <f t="shared" si="5"/>
        <v/>
      </c>
      <c r="K31" s="157" t="str">
        <f t="shared" si="4"/>
        <v/>
      </c>
      <c r="L31" s="157" t="str">
        <f t="shared" si="7"/>
        <v/>
      </c>
      <c r="M31" s="155" t="str">
        <f>IF(H31="","",SUM($H$5:$H31))</f>
        <v/>
      </c>
      <c r="N31" s="157" t="str">
        <f t="shared" si="6"/>
        <v/>
      </c>
      <c r="P31" s="155" t="str">
        <f>IF($F$31="","",SUM('Curve-Barrows'!$M$179:$M$185))</f>
        <v/>
      </c>
      <c r="Q31" s="155" t="str">
        <f>IF($F$31="","",SUM('Curve-Barrows'!$Q$179:$Q$185))</f>
        <v/>
      </c>
    </row>
    <row r="32" spans="1:17" s="156" customFormat="1" x14ac:dyDescent="0.25">
      <c r="A32" s="162"/>
    </row>
  </sheetData>
  <mergeCells count="13">
    <mergeCell ref="I3:I4"/>
    <mergeCell ref="C3:C4"/>
    <mergeCell ref="D2:N2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57FB-5449-4792-B544-C962B79C8A8D}">
  <sheetPr codeName="Sheet21"/>
  <dimension ref="A1:Q33"/>
  <sheetViews>
    <sheetView showGridLines="0" showRowColHeaders="0" zoomScale="80" zoomScaleNormal="80" workbookViewId="0">
      <selection activeCell="S8" sqref="S8"/>
    </sheetView>
  </sheetViews>
  <sheetFormatPr defaultColWidth="8.85546875" defaultRowHeight="15" x14ac:dyDescent="0.25"/>
  <cols>
    <col min="1" max="1" width="4.42578125" style="158" customWidth="1"/>
    <col min="2" max="3" width="0" hidden="1" customWidth="1"/>
    <col min="4" max="4" width="8.85546875" bestFit="1" customWidth="1"/>
    <col min="5" max="5" width="18.7109375" customWidth="1"/>
    <col min="6" max="6" width="9.42578125" hidden="1" customWidth="1"/>
    <col min="7" max="8" width="18.7109375" customWidth="1"/>
    <col min="9" max="9" width="13.28515625" customWidth="1"/>
    <col min="10" max="10" width="18.7109375" customWidth="1"/>
    <col min="11" max="11" width="21.28515625" customWidth="1"/>
    <col min="12" max="13" width="18.7109375" customWidth="1"/>
    <col min="14" max="14" width="20.42578125" customWidth="1"/>
    <col min="16" max="16" width="20.7109375" hidden="1" customWidth="1"/>
    <col min="17" max="17" width="20.28515625" hidden="1" customWidth="1"/>
  </cols>
  <sheetData>
    <row r="1" spans="1:17" ht="15.75" thickBot="1" x14ac:dyDescent="0.3">
      <c r="A1" s="162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7" ht="16.5" thickBot="1" x14ac:dyDescent="0.3">
      <c r="A2" s="172"/>
      <c r="D2" s="248" t="s">
        <v>14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1:17" ht="14.45" customHeight="1" x14ac:dyDescent="0.25">
      <c r="A3" s="173"/>
      <c r="C3" s="245" t="s">
        <v>0</v>
      </c>
      <c r="D3" s="246" t="s">
        <v>55</v>
      </c>
      <c r="E3" s="246" t="s">
        <v>56</v>
      </c>
      <c r="F3" s="246" t="str">
        <f>IF('Кормовой бюджет'!$C$4="Imperial","Weight, lb","Weight, kg")</f>
        <v>Weight, kg</v>
      </c>
      <c r="G3" s="246" t="str">
        <f>IF('Кормовой бюджет'!$C$4="Imperial","Weight, lb","Weight, kg")</f>
        <v>Weight, kg</v>
      </c>
      <c r="H3" s="242" t="str">
        <f>IF('Кормовой бюджет'!$C$4="Imperial","Total Feed per Week, lb","Total Feed per Week, kg")</f>
        <v>Total Feed per Week, kg</v>
      </c>
      <c r="I3" s="244" t="str">
        <f>IF('Кормовой бюджет'!$C$4="Imperial","Incremental ADFI, lb","Incremental ADFI, kg")</f>
        <v>Incremental ADFI, kg</v>
      </c>
      <c r="J3" s="242" t="str">
        <f>IF('Кормовой бюджет'!$C$4="Imperial","Incremental ADG, lb", "Incremental ADG, kg")</f>
        <v>Incremental ADG, kg</v>
      </c>
      <c r="K3" s="242" t="s">
        <v>57</v>
      </c>
      <c r="L3" s="242" t="str">
        <f>IF('Кормовой бюджет'!$C$4="Imperial","Cumulative ADG, lb","Cumulative ADG, kg")</f>
        <v>Cumulative ADG, kg</v>
      </c>
      <c r="M3" s="242" t="str">
        <f>IF('Кормовой бюджет'!$C$4="Imperial","Cumulative Feed Intake, lb","Cumulative Feed Intake, kg")</f>
        <v>Cumulative Feed Intake, kg</v>
      </c>
      <c r="N3" s="242" t="s">
        <v>58</v>
      </c>
    </row>
    <row r="4" spans="1:17" ht="15.75" thickBot="1" x14ac:dyDescent="0.3">
      <c r="A4" s="173"/>
      <c r="B4" t="s">
        <v>59</v>
      </c>
      <c r="C4" s="245"/>
      <c r="D4" s="247"/>
      <c r="E4" s="247"/>
      <c r="F4" s="247"/>
      <c r="G4" s="247"/>
      <c r="H4" s="243"/>
      <c r="I4" s="243"/>
      <c r="J4" s="243"/>
      <c r="K4" s="243"/>
      <c r="L4" s="243"/>
      <c r="M4" s="243"/>
      <c r="N4" s="243"/>
      <c r="P4" t="s">
        <v>60</v>
      </c>
      <c r="Q4" t="s">
        <v>61</v>
      </c>
    </row>
    <row r="5" spans="1:17" x14ac:dyDescent="0.25">
      <c r="C5" s="216">
        <f>'Curve-Gilts'!I3</f>
        <v>21</v>
      </c>
      <c r="D5" s="216">
        <f>IF(C5&gt;0,C5,"")</f>
        <v>21</v>
      </c>
      <c r="E5" s="216">
        <v>1</v>
      </c>
      <c r="F5" s="28">
        <f>IFERROR(IF('Кормовой бюджет'!$C$4="Imperial",VLOOKUP(D5,'Curve-Gilts'!$G$2:$R$185,12,FALSE),VLOOKUP(D5,'Curve-Gilts'!$G$2:$R$185,2,FALSE)),"")</f>
        <v>12.089576651964517</v>
      </c>
      <c r="G5" s="28">
        <f>IFERROR(IF(F6="",F5+(MAX('Кормовой бюджет'!$C$43:$J$43)-F5),F5),"")</f>
        <v>12.089576651964517</v>
      </c>
    </row>
    <row r="6" spans="1:17" x14ac:dyDescent="0.25">
      <c r="A6" s="174"/>
      <c r="B6" s="216">
        <f>IFERROR(IF(D6-D5&lt;0,"",D6-D5),"")</f>
        <v>7</v>
      </c>
      <c r="C6" s="216">
        <f>MAX('Curve-Gilts'!G4:G10)</f>
        <v>28</v>
      </c>
      <c r="D6" s="216">
        <f t="shared" ref="D6:D31" si="0">IF(C6&gt;0,C6,"")</f>
        <v>28</v>
      </c>
      <c r="E6" s="216">
        <f>IF(F6="","",E5+1)</f>
        <v>2</v>
      </c>
      <c r="F6" s="28">
        <f>IFERROR(IF('Кормовой бюджет'!$C$4="Imperial",VLOOKUP(D6,'Curve-Gilts'!$G$2:$R$185,12,FALSE),VLOOKUP(D6,'Curve-Gilts'!$G$2:$R$185,2,FALSE)),"")</f>
        <v>13.788448548128661</v>
      </c>
      <c r="G6" s="28">
        <f>IFERROR(IF(F7="",F6+(MAX('Кормовой бюджет'!$C$43:$J$43)-F6),F6),"")</f>
        <v>13.788448548128661</v>
      </c>
      <c r="H6" s="30">
        <f>IF(F6="","",IF('Кормовой бюджет'!$C$4="Imperial",Q6,P6))</f>
        <v>2.9106528486554248</v>
      </c>
      <c r="I6" s="30">
        <f>IF(F6="","",H6/B6)</f>
        <v>0.41580754980791784</v>
      </c>
      <c r="J6" s="115">
        <f>IF(G6="","",(G6-G5)/(D6-D5))</f>
        <v>0.24269598516630633</v>
      </c>
      <c r="K6" s="115">
        <f>IF(F6="","",((H6/B6)/J6))</f>
        <v>1.7132856545730972</v>
      </c>
      <c r="L6" s="115">
        <f>IF(G6="","",(G6-G5)/(D6-D5))</f>
        <v>0.24269598516630633</v>
      </c>
      <c r="M6" s="30">
        <f>IF(H6="","",SUM($H$5:$H6))</f>
        <v>2.9106528486554248</v>
      </c>
      <c r="N6" s="115">
        <f>IF(F6="","",M6/(L6*7*E5))</f>
        <v>1.7132856545730972</v>
      </c>
      <c r="P6" s="30">
        <f>IF($F$6="","",SUM('Curve-Gilts'!$M$4:$M$10))</f>
        <v>2.9106528486554248</v>
      </c>
      <c r="Q6" s="30">
        <f>IF($F$6="","",SUM('Curve-Gilts'!$Q$4:$Q$10))</f>
        <v>6.4168911144943301</v>
      </c>
    </row>
    <row r="7" spans="1:17" x14ac:dyDescent="0.25">
      <c r="A7" s="174"/>
      <c r="B7" s="216">
        <f t="shared" ref="B7:B30" si="1">IFERROR(IF(D7-D6&lt;0,"",D7-D6),"")</f>
        <v>7</v>
      </c>
      <c r="C7" s="216">
        <f>MAX('Curve-Gilts'!G11:G17)</f>
        <v>35</v>
      </c>
      <c r="D7" s="216">
        <f t="shared" si="0"/>
        <v>35</v>
      </c>
      <c r="E7" s="216">
        <f t="shared" ref="E7:E31" si="2">IF(F7="","",E6+1)</f>
        <v>3</v>
      </c>
      <c r="F7" s="28">
        <f>IFERROR(IF('Кормовой бюджет'!$C$4="Imperial",VLOOKUP(D7,'Curve-Gilts'!$G$2:$R$185,12,FALSE),VLOOKUP(D7,'Curve-Gilts'!$G$2:$R$185,2,FALSE)),"")</f>
        <v>17.105395598308672</v>
      </c>
      <c r="G7" s="28">
        <f>IFERROR(IF(F8="",F7+(MAX('Кормовой бюджет'!$C$43:$J$43)-F7),F7),"")</f>
        <v>17.105395598308672</v>
      </c>
      <c r="H7" s="30">
        <f>IF(F7="","",IF('Кормовой бюджет'!$C$4="Imperial",Q7,P7))</f>
        <v>6.2027853308229428</v>
      </c>
      <c r="I7" s="30">
        <f t="shared" ref="I7:I31" si="3">IF(F7="","",H7/B7)</f>
        <v>0.88611219011756326</v>
      </c>
      <c r="J7" s="115">
        <f>IF(G7="","",(G7-G6)/(D7-D6))</f>
        <v>0.47384957859714433</v>
      </c>
      <c r="K7" s="115">
        <f t="shared" ref="K7:K31" si="4">IF(F7="","",((H7/B7)/J7))</f>
        <v>1.8700284439229498</v>
      </c>
      <c r="L7" s="115">
        <f>IF(G7="","",(G7-$G$5)/(D7-$D$5))</f>
        <v>0.35827278188172534</v>
      </c>
      <c r="M7" s="30">
        <f>IF(H7="","",SUM($H$5:$H7))</f>
        <v>9.1134381794783685</v>
      </c>
      <c r="N7" s="115">
        <f t="shared" ref="N7:N15" si="5">IF(F7="","",M7/(L7*7*E6))</f>
        <v>1.8169392230795767</v>
      </c>
      <c r="P7" s="30">
        <f>IF($F$7="","",SUM('Curve-Gilts'!$M$11:$M$17))</f>
        <v>6.2027853308229428</v>
      </c>
      <c r="Q7" s="30">
        <f>IF($F$7="","",SUM('Curve-Gilts'!$Q$11:$Q$17))</f>
        <v>13.674800858804003</v>
      </c>
    </row>
    <row r="8" spans="1:17" x14ac:dyDescent="0.25">
      <c r="A8" s="174"/>
      <c r="B8" s="216">
        <f t="shared" si="1"/>
        <v>7</v>
      </c>
      <c r="C8" s="216">
        <f>MAX('Curve-Gilts'!G18:G24)</f>
        <v>42</v>
      </c>
      <c r="D8" s="216">
        <f t="shared" si="0"/>
        <v>42</v>
      </c>
      <c r="E8" s="216">
        <f t="shared" si="2"/>
        <v>4</v>
      </c>
      <c r="F8" s="28">
        <f>IFERROR(IF('Кормовой бюджет'!$C$4="Imperial",VLOOKUP(D8,'Curve-Gilts'!$G$2:$R$185,12,FALSE),VLOOKUP(D8,'Curve-Gilts'!$G$2:$R$185,2,FALSE)),"")</f>
        <v>21.725792078112573</v>
      </c>
      <c r="G8" s="28">
        <f>IFERROR(IF(F9="",F8+(MAX('Кормовой бюджет'!$C$43:$J$43)-F8),F8),"")</f>
        <v>21.725792078112573</v>
      </c>
      <c r="H8" s="30">
        <f>IF(F8="","",IF('Кормовой бюджет'!$C$4="Imperial",Q8,P8))</f>
        <v>9.4554219574866156</v>
      </c>
      <c r="I8" s="30">
        <f t="shared" si="3"/>
        <v>1.3507745653552308</v>
      </c>
      <c r="J8" s="115">
        <f t="shared" ref="J8:J31" si="6">IF(G8="","",(G8-G7)/(D8-D7))</f>
        <v>0.66005663997198583</v>
      </c>
      <c r="K8" s="115">
        <f t="shared" si="4"/>
        <v>2.0464525065796786</v>
      </c>
      <c r="L8" s="115">
        <f t="shared" ref="L8:L31" si="7">IF(G8="","",(G8-$G$5)/(D8-$D$5))</f>
        <v>0.45886740124514552</v>
      </c>
      <c r="M8" s="30">
        <f>IF(H8="","",SUM($H$5:$H8))</f>
        <v>18.568860136964986</v>
      </c>
      <c r="N8" s="115">
        <f t="shared" si="5"/>
        <v>1.9269868216704691</v>
      </c>
      <c r="P8" s="30">
        <f>IF($F$8="","",SUM('Curve-Gilts'!$M$18:$M$24))</f>
        <v>9.4554219574866156</v>
      </c>
      <c r="Q8" s="30">
        <f>IF($F$8="","",SUM('Curve-Gilts'!$Q$18:$Q$24))</f>
        <v>20.845637146600627</v>
      </c>
    </row>
    <row r="9" spans="1:17" x14ac:dyDescent="0.25">
      <c r="A9" s="174"/>
      <c r="B9" s="216">
        <f t="shared" si="1"/>
        <v>7</v>
      </c>
      <c r="C9" s="216">
        <f>MAX('Curve-Gilts'!G25:G31)</f>
        <v>49</v>
      </c>
      <c r="D9" s="216">
        <f t="shared" si="0"/>
        <v>49</v>
      </c>
      <c r="E9" s="216">
        <f t="shared" si="2"/>
        <v>5</v>
      </c>
      <c r="F9" s="28">
        <f>IFERROR(IF('Кормовой бюджет'!$C$4="Imperial",VLOOKUP(D9,'Curve-Gilts'!$G$2:$R$185,12,FALSE),VLOOKUP(D9,'Curve-Gilts'!$G$2:$R$185,2,FALSE)),"")</f>
        <v>27.298750023374623</v>
      </c>
      <c r="G9" s="28">
        <f>IFERROR(IF(F10="",F9+(MAX('Кормовой бюджет'!$C$43:$J$43)-F9),F9),"")</f>
        <v>27.298750023374623</v>
      </c>
      <c r="H9" s="30">
        <f>IF(F9="","",IF('Кормовой бюджет'!$C$4="Imperial",Q9,P9))</f>
        <v>12.272581614299447</v>
      </c>
      <c r="I9" s="30">
        <f t="shared" si="3"/>
        <v>1.753225944899921</v>
      </c>
      <c r="J9" s="115">
        <f t="shared" si="6"/>
        <v>0.7961368493231501</v>
      </c>
      <c r="K9" s="115">
        <f t="shared" si="4"/>
        <v>2.2021665576595999</v>
      </c>
      <c r="L9" s="115">
        <f t="shared" si="7"/>
        <v>0.5431847632646466</v>
      </c>
      <c r="M9" s="30">
        <f>IF(H9="","",SUM($H$5:$H9))</f>
        <v>30.841441751264433</v>
      </c>
      <c r="N9" s="115">
        <f t="shared" si="5"/>
        <v>2.027818409200302</v>
      </c>
      <c r="P9" s="30">
        <f>IF($F$9="","",SUM('Curve-Gilts'!$M$25:$M$31))</f>
        <v>12.272581614299447</v>
      </c>
      <c r="Q9" s="30">
        <f>IF($F$9="","",SUM('Curve-Gilts'!$Q$25:$Q$31))</f>
        <v>27.056411055369928</v>
      </c>
    </row>
    <row r="10" spans="1:17" x14ac:dyDescent="0.25">
      <c r="A10" s="174"/>
      <c r="B10" s="216">
        <f t="shared" si="1"/>
        <v>7</v>
      </c>
      <c r="C10" s="216">
        <f>MAX('Curve-Gilts'!G32:G38)</f>
        <v>56</v>
      </c>
      <c r="D10" s="216">
        <f t="shared" si="0"/>
        <v>56</v>
      </c>
      <c r="E10" s="216">
        <f t="shared" si="2"/>
        <v>6</v>
      </c>
      <c r="F10" s="28">
        <f>IFERROR(IF('Кормовой бюджет'!$C$4="Imperial",VLOOKUP(D10,'Curve-Gilts'!$G$2:$R$185,12,FALSE),VLOOKUP(D10,'Curve-Gilts'!$G$2:$R$185,2,FALSE)),"")</f>
        <v>33.80614105419609</v>
      </c>
      <c r="G10" s="28">
        <f>IFERROR(IF(F11="",F10+(MAX('Кормовой бюджет'!$C$43:$J$43)-F10),F10),"")</f>
        <v>33.80614105419609</v>
      </c>
      <c r="H10" s="30">
        <f>IF(F10="","",IF('Кормовой бюджет'!$C$4="Imperial",Q10,P10))</f>
        <v>15.26984594382837</v>
      </c>
      <c r="I10" s="30">
        <f t="shared" si="3"/>
        <v>2.1814065634040527</v>
      </c>
      <c r="J10" s="115">
        <f t="shared" si="6"/>
        <v>0.92962729011735235</v>
      </c>
      <c r="K10" s="115">
        <f t="shared" si="4"/>
        <v>2.3465388619655099</v>
      </c>
      <c r="L10" s="115">
        <f t="shared" si="7"/>
        <v>0.62047326863518781</v>
      </c>
      <c r="M10" s="30">
        <f>IF(H10="","",SUM($H$5:$H10))</f>
        <v>46.111287695092805</v>
      </c>
      <c r="N10" s="115">
        <f t="shared" si="5"/>
        <v>2.123323323202746</v>
      </c>
      <c r="P10" s="30">
        <f>IF($F$10="","",SUM('Curve-Gilts'!$M$32:$M$38))</f>
        <v>15.26984594382837</v>
      </c>
      <c r="Q10" s="30">
        <f>IF($F$10="","",SUM('Curve-Gilts'!$Q$32:$Q$38))</f>
        <v>33.664247799909795</v>
      </c>
    </row>
    <row r="11" spans="1:17" x14ac:dyDescent="0.25">
      <c r="A11" s="174"/>
      <c r="B11" s="216">
        <f t="shared" si="1"/>
        <v>7</v>
      </c>
      <c r="C11" s="216">
        <f>MAX('Curve-Gilts'!G39:G45)</f>
        <v>63</v>
      </c>
      <c r="D11" s="216">
        <f t="shared" si="0"/>
        <v>63</v>
      </c>
      <c r="E11" s="216">
        <f t="shared" si="2"/>
        <v>7</v>
      </c>
      <c r="F11" s="28">
        <f>IFERROR(IF('Кормовой бюджет'!$C$4="Imperial",VLOOKUP(D11,'Curve-Gilts'!$G$2:$R$185,12,FALSE),VLOOKUP(D11,'Curve-Gilts'!$G$2:$R$185,2,FALSE)),"")</f>
        <v>41.24751931123113</v>
      </c>
      <c r="G11" s="28">
        <f>IFERROR(IF(F12="",F11+(MAX('Кормовой бюджет'!$C$43:$J$43)-F11),F11),"")</f>
        <v>41.24751931123113</v>
      </c>
      <c r="H11" s="30">
        <f>IF(F11="","",IF('Кормовой бюджет'!$C$4="Imperial",Q11,P11))</f>
        <v>18.532338756374244</v>
      </c>
      <c r="I11" s="30">
        <f t="shared" si="3"/>
        <v>2.6474769651963208</v>
      </c>
      <c r="J11" s="115">
        <f t="shared" si="6"/>
        <v>1.0630540367192916</v>
      </c>
      <c r="K11" s="115">
        <f t="shared" si="4"/>
        <v>2.4904443929931754</v>
      </c>
      <c r="L11" s="115">
        <f t="shared" si="7"/>
        <v>0.69423672998253838</v>
      </c>
      <c r="M11" s="30">
        <f>IF(H11="","",SUM($H$5:$H11))</f>
        <v>64.643626451467043</v>
      </c>
      <c r="N11" s="115">
        <f t="shared" si="5"/>
        <v>2.2170160359692876</v>
      </c>
      <c r="P11" s="30">
        <f>IF($F$11="","",SUM('Curve-Gilts'!$M$39:$M$45))</f>
        <v>18.532338756374244</v>
      </c>
      <c r="Q11" s="30">
        <f>IF($F$11="","",SUM('Curve-Gilts'!$Q$39:$Q$45))</f>
        <v>40.856813258067461</v>
      </c>
    </row>
    <row r="12" spans="1:17" x14ac:dyDescent="0.25">
      <c r="A12" s="174"/>
      <c r="B12" s="216">
        <f t="shared" si="1"/>
        <v>7</v>
      </c>
      <c r="C12" s="216">
        <f>MAX('Curve-Gilts'!G46:G52)</f>
        <v>70</v>
      </c>
      <c r="D12" s="216">
        <f t="shared" si="0"/>
        <v>70</v>
      </c>
      <c r="E12" s="216">
        <f t="shared" si="2"/>
        <v>8</v>
      </c>
      <c r="F12" s="28">
        <f>IFERROR(IF('Кормовой бюджет'!$C$4="Imperial",VLOOKUP(D12,'Curve-Gilts'!$G$2:$R$185,12,FALSE),VLOOKUP(D12,'Curve-Gilts'!$G$2:$R$185,2,FALSE)),"")</f>
        <v>49.265509191924146</v>
      </c>
      <c r="G12" s="28">
        <f>IFERROR(IF(F13="",F12+(MAX('Кормовой бюджет'!$C$43:$J$43)-F12),F12),"")</f>
        <v>49.265509191924146</v>
      </c>
      <c r="H12" s="30">
        <f>IF(F12="","",IF('Кормовой бюджет'!$C$4="Imperial",Q12,P12))</f>
        <v>21.851673396616121</v>
      </c>
      <c r="I12" s="30">
        <f t="shared" si="3"/>
        <v>3.1216676280880171</v>
      </c>
      <c r="J12" s="115">
        <f t="shared" si="6"/>
        <v>1.145427125813288</v>
      </c>
      <c r="K12" s="115">
        <f t="shared" si="4"/>
        <v>2.7253306279712368</v>
      </c>
      <c r="L12" s="115">
        <f t="shared" si="7"/>
        <v>0.75869250081550266</v>
      </c>
      <c r="M12" s="30">
        <f>IF(H12="","",SUM($H$5:$H12))</f>
        <v>86.495299848083164</v>
      </c>
      <c r="N12" s="115">
        <f t="shared" si="5"/>
        <v>2.3266477513404991</v>
      </c>
      <c r="P12" s="30">
        <f>IF($F$12="","",SUM('Curve-Gilts'!$M$46:$M$52))</f>
        <v>21.851673396616121</v>
      </c>
      <c r="Q12" s="30">
        <f>IF($F$12="","",SUM('Curve-Gilts'!$Q$46:$Q$52))</f>
        <v>48.174693495430965</v>
      </c>
    </row>
    <row r="13" spans="1:17" x14ac:dyDescent="0.25">
      <c r="A13" s="174"/>
      <c r="B13" s="216">
        <f t="shared" si="1"/>
        <v>4</v>
      </c>
      <c r="C13" s="216">
        <f>MAX('Curve-Gilts'!G53:G59)</f>
        <v>74</v>
      </c>
      <c r="D13" s="216">
        <f t="shared" si="0"/>
        <v>74</v>
      </c>
      <c r="E13" s="216">
        <f t="shared" si="2"/>
        <v>9</v>
      </c>
      <c r="F13" s="28">
        <f>IFERROR(IF('Кормовой бюджет'!$C$4="Imperial",VLOOKUP(D13,'Curve-Gilts'!$G$2:$R$185,12,FALSE),VLOOKUP(D13,'Curve-Gilts'!$G$2:$R$185,2,FALSE)),"")</f>
        <v>54.104812549169871</v>
      </c>
      <c r="G13" s="28">
        <f>IFERROR(IF(F14="",F13+(MAX('Кормовой бюджет'!$C$43:$J$43)-F13),F13),"")</f>
        <v>54.404646621594232</v>
      </c>
      <c r="H13" s="30">
        <f>IF(F13="","",IF('Кормовой бюджет'!$C$4="Imperial",Q13,P13))</f>
        <v>14.146356935007326</v>
      </c>
      <c r="I13" s="30">
        <f t="shared" si="3"/>
        <v>3.5365892337518314</v>
      </c>
      <c r="J13" s="115">
        <f t="shared" si="6"/>
        <v>1.2847843574175215</v>
      </c>
      <c r="K13" s="115">
        <f t="shared" si="4"/>
        <v>2.7526714606492768</v>
      </c>
      <c r="L13" s="115">
        <f t="shared" si="7"/>
        <v>0.79839754659678719</v>
      </c>
      <c r="M13" s="30">
        <f>IF(H13="","",SUM($H$5:$H13))</f>
        <v>100.6416567830905</v>
      </c>
      <c r="N13" s="115">
        <f t="shared" si="5"/>
        <v>2.2509744051891598</v>
      </c>
      <c r="P13" s="30">
        <f>IF($F$13="","",SUM('Curve-Gilts'!$M$53:$M$59))</f>
        <v>14.146356935007326</v>
      </c>
      <c r="Q13" s="30">
        <f>IF($F$13="","",SUM('Curve-Gilts'!$Q$53:$Q$59))</f>
        <v>31.187378515664459</v>
      </c>
    </row>
    <row r="14" spans="1:17" x14ac:dyDescent="0.25">
      <c r="A14" s="174"/>
      <c r="B14" s="216" t="str">
        <f t="shared" si="1"/>
        <v/>
      </c>
      <c r="C14" s="216">
        <f>MAX('Curve-Gilts'!G60:G66)</f>
        <v>0</v>
      </c>
      <c r="D14" s="216" t="str">
        <f t="shared" si="0"/>
        <v/>
      </c>
      <c r="E14" s="216" t="str">
        <f t="shared" si="2"/>
        <v/>
      </c>
      <c r="F14" s="28" t="str">
        <f>IFERROR(IF('Кормовой бюджет'!$C$4="Imperial",VLOOKUP(D14,'Curve-Gilts'!$G$2:$R$185,12,FALSE),VLOOKUP(D14,'Curve-Gilts'!$G$2:$R$185,2,FALSE)),"")</f>
        <v/>
      </c>
      <c r="G14" s="28" t="str">
        <f>IFERROR(IF(F15="",F14+(MAX('Кормовой бюджет'!$C$43:$J$43)-F14),F14),"")</f>
        <v/>
      </c>
      <c r="H14" s="30" t="str">
        <f>IF(F14="","",IF('Кормовой бюджет'!$C$4="Imperial",Q14,P14))</f>
        <v/>
      </c>
      <c r="I14" s="30" t="str">
        <f t="shared" si="3"/>
        <v/>
      </c>
      <c r="J14" s="115" t="str">
        <f t="shared" si="6"/>
        <v/>
      </c>
      <c r="K14" s="115" t="str">
        <f t="shared" si="4"/>
        <v/>
      </c>
      <c r="L14" s="115" t="str">
        <f t="shared" si="7"/>
        <v/>
      </c>
      <c r="M14" s="30" t="str">
        <f>IF(H14="","",SUM($H$5:$H14))</f>
        <v/>
      </c>
      <c r="N14" s="115" t="str">
        <f t="shared" si="5"/>
        <v/>
      </c>
      <c r="P14" s="30" t="str">
        <f>IF($F$14="","",SUM('Curve-Gilts'!$M$60:$M$66))</f>
        <v/>
      </c>
      <c r="Q14" s="30" t="str">
        <f>IF($F$14="","",SUM('Curve-Gilts'!$Q$60:$Q$66))</f>
        <v/>
      </c>
    </row>
    <row r="15" spans="1:17" x14ac:dyDescent="0.25">
      <c r="A15" s="174"/>
      <c r="B15" s="216" t="str">
        <f t="shared" si="1"/>
        <v/>
      </c>
      <c r="C15" s="216">
        <f>MAX('Curve-Gilts'!G67:G73)</f>
        <v>0</v>
      </c>
      <c r="D15" s="216" t="str">
        <f t="shared" si="0"/>
        <v/>
      </c>
      <c r="E15" s="216" t="str">
        <f t="shared" si="2"/>
        <v/>
      </c>
      <c r="F15" s="28" t="str">
        <f>IFERROR(IF('Кормовой бюджет'!$C$4="Imperial",VLOOKUP(D15,'Curve-Gilts'!$G$2:$R$185,12,FALSE),VLOOKUP(D15,'Curve-Gilts'!$G$2:$R$185,2,FALSE)),"")</f>
        <v/>
      </c>
      <c r="G15" s="28" t="str">
        <f>IFERROR(IF(F16="",F15+(MAX('Кормовой бюджет'!$C$43:$J$43)-F15),F15),"")</f>
        <v/>
      </c>
      <c r="H15" s="30" t="str">
        <f>IF(F15="","",IF('Кормовой бюджет'!$C$4="Imperial",Q15,P15))</f>
        <v/>
      </c>
      <c r="I15" s="30" t="str">
        <f t="shared" si="3"/>
        <v/>
      </c>
      <c r="J15" s="115" t="str">
        <f t="shared" si="6"/>
        <v/>
      </c>
      <c r="K15" s="115" t="str">
        <f t="shared" si="4"/>
        <v/>
      </c>
      <c r="L15" s="115" t="str">
        <f t="shared" si="7"/>
        <v/>
      </c>
      <c r="M15" s="30" t="str">
        <f>IF(H15="","",SUM($H$5:$H15))</f>
        <v/>
      </c>
      <c r="N15" s="115" t="str">
        <f t="shared" si="5"/>
        <v/>
      </c>
      <c r="P15" s="30" t="str">
        <f>IF($F$15="","",SUM('Curve-Gilts'!$M$67:$M$73))</f>
        <v/>
      </c>
      <c r="Q15" s="30" t="str">
        <f>IF($F$15="","",SUM('Curve-Gilts'!$Q$67:$Q$73))</f>
        <v/>
      </c>
    </row>
    <row r="16" spans="1:17" x14ac:dyDescent="0.25">
      <c r="A16" s="174"/>
      <c r="B16" s="216" t="str">
        <f t="shared" si="1"/>
        <v/>
      </c>
      <c r="C16" s="216">
        <f>MAX('Curve-Gilts'!G74:G80)</f>
        <v>0</v>
      </c>
      <c r="D16" s="216" t="str">
        <f t="shared" si="0"/>
        <v/>
      </c>
      <c r="E16" s="216" t="str">
        <f t="shared" si="2"/>
        <v/>
      </c>
      <c r="F16" s="28" t="str">
        <f>IFERROR(IF('Кормовой бюджет'!$C$4="Imperial",VLOOKUP(D16,'Curve-Gilts'!$G$2:$R$185,12,FALSE),VLOOKUP(D16,'Curve-Gilts'!$G$2:$R$185,2,FALSE)),"")</f>
        <v/>
      </c>
      <c r="G16" s="28" t="str">
        <f>IFERROR(IF(F17="",F16+(MAX('Кормовой бюджет'!$C$43:$J$43)-F16),F16),"")</f>
        <v/>
      </c>
      <c r="H16" s="30" t="str">
        <f>IF(F16="","",IF('Кормовой бюджет'!$C$4="Imperial",Q16,P16))</f>
        <v/>
      </c>
      <c r="I16" s="30" t="str">
        <f t="shared" si="3"/>
        <v/>
      </c>
      <c r="J16" s="115" t="str">
        <f t="shared" si="6"/>
        <v/>
      </c>
      <c r="K16" s="115" t="str">
        <f t="shared" si="4"/>
        <v/>
      </c>
      <c r="L16" s="115" t="str">
        <f t="shared" si="7"/>
        <v/>
      </c>
      <c r="M16" s="30" t="str">
        <f>IF(H16="","",SUM($H$5:$H16))</f>
        <v/>
      </c>
      <c r="N16" s="115" t="str">
        <f t="shared" ref="N16:N31" si="8">IF(F16="","",M16/(L16*7*E15))</f>
        <v/>
      </c>
      <c r="P16" s="30" t="str">
        <f>IF($F$16="","",SUM('Curve-Gilts'!$M$74:$M$80))</f>
        <v/>
      </c>
      <c r="Q16" s="30" t="str">
        <f>IF($F$16="","",SUM('Curve-Gilts'!$Q$74:$Q$80))</f>
        <v/>
      </c>
    </row>
    <row r="17" spans="1:17" x14ac:dyDescent="0.25">
      <c r="A17" s="174"/>
      <c r="B17" s="216" t="str">
        <f t="shared" si="1"/>
        <v/>
      </c>
      <c r="C17" s="216">
        <f>MAX('Curve-Gilts'!G81:G87)</f>
        <v>0</v>
      </c>
      <c r="D17" s="216" t="str">
        <f t="shared" si="0"/>
        <v/>
      </c>
      <c r="E17" s="216" t="str">
        <f t="shared" si="2"/>
        <v/>
      </c>
      <c r="F17" s="28" t="str">
        <f>IFERROR(IF('Кормовой бюджет'!$C$4="Imperial",VLOOKUP(D17,'Curve-Gilts'!$G$2:$R$185,12,FALSE),VLOOKUP(D17,'Curve-Gilts'!$G$2:$R$185,2,FALSE)),"")</f>
        <v/>
      </c>
      <c r="G17" s="28" t="str">
        <f>IFERROR(IF(F18="",F17+(MAX('Кормовой бюджет'!$C$43:$J$43)-F17),F17),"")</f>
        <v/>
      </c>
      <c r="H17" s="30" t="str">
        <f>IF(F17="","",IF('Кормовой бюджет'!$C$4="Imperial",Q17,P17))</f>
        <v/>
      </c>
      <c r="I17" s="30" t="str">
        <f t="shared" si="3"/>
        <v/>
      </c>
      <c r="J17" s="115" t="str">
        <f t="shared" si="6"/>
        <v/>
      </c>
      <c r="K17" s="115" t="str">
        <f t="shared" si="4"/>
        <v/>
      </c>
      <c r="L17" s="115" t="str">
        <f t="shared" si="7"/>
        <v/>
      </c>
      <c r="M17" s="30" t="str">
        <f>IF(H17="","",SUM($H$5:$H17))</f>
        <v/>
      </c>
      <c r="N17" s="115" t="str">
        <f t="shared" si="8"/>
        <v/>
      </c>
      <c r="P17" s="30" t="str">
        <f>IF($F$17="","",SUM('Curve-Gilts'!$M$81:$M$87))</f>
        <v/>
      </c>
      <c r="Q17" s="30" t="str">
        <f>IF($F$17="","",SUM('Curve-Gilts'!$Q$81:$Q$87))</f>
        <v/>
      </c>
    </row>
    <row r="18" spans="1:17" x14ac:dyDescent="0.25">
      <c r="A18" s="174"/>
      <c r="B18" s="216" t="str">
        <f t="shared" si="1"/>
        <v/>
      </c>
      <c r="C18" s="216">
        <f>MAX('Curve-Gilts'!G88:G94)</f>
        <v>0</v>
      </c>
      <c r="D18" s="216" t="str">
        <f t="shared" si="0"/>
        <v/>
      </c>
      <c r="E18" s="216" t="str">
        <f t="shared" si="2"/>
        <v/>
      </c>
      <c r="F18" s="28" t="str">
        <f>IFERROR(IF('Кормовой бюджет'!$C$4="Imperial",VLOOKUP(D18,'Curve-Gilts'!$G$2:$R$185,12,FALSE),VLOOKUP(D18,'Curve-Gilts'!$G$2:$R$185,2,FALSE)),"")</f>
        <v/>
      </c>
      <c r="G18" s="28" t="str">
        <f>IFERROR(IF(F19="",F18+(MAX('Кормовой бюджет'!$C$43:$J$43)-F18),F18),"")</f>
        <v/>
      </c>
      <c r="H18" s="30" t="str">
        <f>IF(F18="","",IF('Кормовой бюджет'!$C$4="Imperial",Q18,P18))</f>
        <v/>
      </c>
      <c r="I18" s="30" t="str">
        <f t="shared" si="3"/>
        <v/>
      </c>
      <c r="J18" s="115" t="str">
        <f t="shared" si="6"/>
        <v/>
      </c>
      <c r="K18" s="115" t="str">
        <f t="shared" si="4"/>
        <v/>
      </c>
      <c r="L18" s="115" t="str">
        <f t="shared" si="7"/>
        <v/>
      </c>
      <c r="M18" s="30" t="str">
        <f>IF(H18="","",SUM($H$5:$H18))</f>
        <v/>
      </c>
      <c r="N18" s="115" t="str">
        <f t="shared" si="8"/>
        <v/>
      </c>
      <c r="P18" s="30" t="str">
        <f>IF($F$18="","",SUM('Curve-Gilts'!$M$88:$M$94))</f>
        <v/>
      </c>
      <c r="Q18" s="30" t="str">
        <f>IF($F$18="","",SUM('Curve-Gilts'!$Q$88:$Q$94))</f>
        <v/>
      </c>
    </row>
    <row r="19" spans="1:17" x14ac:dyDescent="0.25">
      <c r="A19" s="174"/>
      <c r="B19" s="216" t="str">
        <f t="shared" si="1"/>
        <v/>
      </c>
      <c r="C19" s="216">
        <f>MAX('Curve-Gilts'!G95:G101)</f>
        <v>0</v>
      </c>
      <c r="D19" s="216" t="str">
        <f t="shared" si="0"/>
        <v/>
      </c>
      <c r="E19" s="216" t="str">
        <f t="shared" si="2"/>
        <v/>
      </c>
      <c r="F19" s="28" t="str">
        <f>IFERROR(IF('Кормовой бюджет'!$C$4="Imperial",VLOOKUP(D19,'Curve-Gilts'!$G$2:$R$185,12,FALSE),VLOOKUP(D19,'Curve-Gilts'!$G$2:$R$185,2,FALSE)),"")</f>
        <v/>
      </c>
      <c r="G19" s="28" t="str">
        <f>IFERROR(IF(F20="",F19+(MAX('Кормовой бюджет'!$C$43:$J$43)-F19),F19),"")</f>
        <v/>
      </c>
      <c r="H19" s="30" t="str">
        <f>IF(F19="","",IF('Кормовой бюджет'!$C$4="Imperial",Q19,P19))</f>
        <v/>
      </c>
      <c r="I19" s="30" t="str">
        <f>IF(F19="","",H19/B19)</f>
        <v/>
      </c>
      <c r="J19" s="115" t="str">
        <f t="shared" si="6"/>
        <v/>
      </c>
      <c r="K19" s="115" t="str">
        <f t="shared" si="4"/>
        <v/>
      </c>
      <c r="L19" s="115" t="str">
        <f t="shared" si="7"/>
        <v/>
      </c>
      <c r="M19" s="30" t="str">
        <f>IF(H19="","",SUM($H$5:$H19))</f>
        <v/>
      </c>
      <c r="N19" s="115" t="str">
        <f t="shared" si="8"/>
        <v/>
      </c>
      <c r="P19" s="30" t="str">
        <f>IF($F$19="","",SUM('Curve-Gilts'!$M$95:$M$101))</f>
        <v/>
      </c>
      <c r="Q19" s="30" t="str">
        <f>IF($F$19="","",SUM('Curve-Gilts'!$Q$95:$Q$101))</f>
        <v/>
      </c>
    </row>
    <row r="20" spans="1:17" x14ac:dyDescent="0.25">
      <c r="A20" s="174"/>
      <c r="B20" s="216" t="str">
        <f t="shared" si="1"/>
        <v/>
      </c>
      <c r="C20" s="216">
        <f>MAX('Curve-Gilts'!G102:G108)</f>
        <v>0</v>
      </c>
      <c r="D20" s="216" t="str">
        <f t="shared" si="0"/>
        <v/>
      </c>
      <c r="E20" s="216" t="str">
        <f t="shared" si="2"/>
        <v/>
      </c>
      <c r="F20" s="28" t="str">
        <f>IFERROR(IF('Кормовой бюджет'!$C$4="Imperial",VLOOKUP(D20,'Curve-Gilts'!$G$2:$R$185,12,FALSE),VLOOKUP(D20,'Curve-Gilts'!$G$2:$R$185,2,FALSE)),"")</f>
        <v/>
      </c>
      <c r="G20" s="28" t="str">
        <f>IFERROR(IF(F21="",F20+(MAX('Кормовой бюджет'!$C$43:$J$43)-F20),F20),"")</f>
        <v/>
      </c>
      <c r="H20" s="30" t="str">
        <f>IF(F20="","",IF('Кормовой бюджет'!$C$4="Imperial",Q20,P20))</f>
        <v/>
      </c>
      <c r="I20" s="30" t="str">
        <f t="shared" si="3"/>
        <v/>
      </c>
      <c r="J20" s="115" t="str">
        <f t="shared" si="6"/>
        <v/>
      </c>
      <c r="K20" s="115" t="str">
        <f t="shared" si="4"/>
        <v/>
      </c>
      <c r="L20" s="115" t="str">
        <f t="shared" si="7"/>
        <v/>
      </c>
      <c r="M20" s="30" t="str">
        <f>IF(H20="","",SUM($H$5:$H20))</f>
        <v/>
      </c>
      <c r="N20" s="115" t="str">
        <f t="shared" si="8"/>
        <v/>
      </c>
      <c r="P20" s="30" t="str">
        <f>IF($F$20="","",SUM('Curve-Gilts'!$M$102:$M$108))</f>
        <v/>
      </c>
      <c r="Q20" s="30" t="str">
        <f>IF($F$20="","",SUM('Curve-Gilts'!$Q$102:$Q$108))</f>
        <v/>
      </c>
    </row>
    <row r="21" spans="1:17" x14ac:dyDescent="0.25">
      <c r="A21" s="174"/>
      <c r="B21" s="216" t="str">
        <f t="shared" si="1"/>
        <v/>
      </c>
      <c r="C21" s="216">
        <f>MAX('Curve-Gilts'!G109:G115)</f>
        <v>0</v>
      </c>
      <c r="D21" s="216" t="str">
        <f t="shared" si="0"/>
        <v/>
      </c>
      <c r="E21" s="216" t="str">
        <f t="shared" si="2"/>
        <v/>
      </c>
      <c r="F21" s="28" t="str">
        <f>IFERROR(IF('Кормовой бюджет'!$C$4="Imperial",VLOOKUP(D21,'Curve-Gilts'!$G$2:$R$185,12,FALSE),VLOOKUP(D21,'Curve-Gilts'!$G$2:$R$185,2,FALSE)),"")</f>
        <v/>
      </c>
      <c r="G21" s="28" t="str">
        <f>IFERROR(IF(F22="",F21+(MAX('Кормовой бюджет'!$C$43:$J$43)-F21),F21),"")</f>
        <v/>
      </c>
      <c r="H21" s="30" t="str">
        <f>IF(F21="","",IF('Кормовой бюджет'!$C$4="Imperial",Q21,P21))</f>
        <v/>
      </c>
      <c r="I21" s="30" t="str">
        <f t="shared" si="3"/>
        <v/>
      </c>
      <c r="J21" s="115" t="str">
        <f t="shared" si="6"/>
        <v/>
      </c>
      <c r="K21" s="115" t="str">
        <f t="shared" si="4"/>
        <v/>
      </c>
      <c r="L21" s="115" t="str">
        <f t="shared" si="7"/>
        <v/>
      </c>
      <c r="M21" s="30" t="str">
        <f>IF(H21="","",SUM($H$5:$H21))</f>
        <v/>
      </c>
      <c r="N21" s="115" t="str">
        <f t="shared" si="8"/>
        <v/>
      </c>
      <c r="P21" s="30" t="str">
        <f>IF($F$21="","",SUM('Curve-Gilts'!$M$109:$M$115))</f>
        <v/>
      </c>
      <c r="Q21" s="30" t="str">
        <f>IF($F$21="","",SUM('Curve-Gilts'!$Q$109:$Q$115))</f>
        <v/>
      </c>
    </row>
    <row r="22" spans="1:17" x14ac:dyDescent="0.25">
      <c r="A22" s="174"/>
      <c r="B22" s="216" t="str">
        <f t="shared" si="1"/>
        <v/>
      </c>
      <c r="C22" s="216">
        <f>MAX('Curve-Gilts'!G116:G122)</f>
        <v>0</v>
      </c>
      <c r="D22" s="216" t="str">
        <f t="shared" si="0"/>
        <v/>
      </c>
      <c r="E22" s="216" t="str">
        <f t="shared" si="2"/>
        <v/>
      </c>
      <c r="F22" s="28" t="str">
        <f>IFERROR(IF('Кормовой бюджет'!$C$4="Imperial",VLOOKUP(D22,'Curve-Gilts'!$G$2:$R$185,12,FALSE),VLOOKUP(D22,'Curve-Gilts'!$G$2:$R$185,2,FALSE)),"")</f>
        <v/>
      </c>
      <c r="G22" s="28" t="str">
        <f>IFERROR(IF(F23="",F22+(MAX('Кормовой бюджет'!$C$43:$J$43)-F22),F22),"")</f>
        <v/>
      </c>
      <c r="H22" s="30" t="str">
        <f>IF(F22="","",IF('Кормовой бюджет'!$C$4="Imperial",Q22,P22))</f>
        <v/>
      </c>
      <c r="I22" s="30" t="str">
        <f t="shared" si="3"/>
        <v/>
      </c>
      <c r="J22" s="115" t="str">
        <f t="shared" si="6"/>
        <v/>
      </c>
      <c r="K22" s="115" t="str">
        <f t="shared" si="4"/>
        <v/>
      </c>
      <c r="L22" s="115" t="str">
        <f t="shared" si="7"/>
        <v/>
      </c>
      <c r="M22" s="30" t="str">
        <f>IF(H22="","",SUM($H$5:$H22))</f>
        <v/>
      </c>
      <c r="N22" s="115" t="str">
        <f t="shared" si="8"/>
        <v/>
      </c>
      <c r="P22" s="30" t="str">
        <f>IF($F$22="","",SUM('Curve-Gilts'!$M$116:$M$122))</f>
        <v/>
      </c>
      <c r="Q22" s="30" t="str">
        <f>IF($F$22="","",SUM('Curve-Gilts'!$Q$116:$Q$122))</f>
        <v/>
      </c>
    </row>
    <row r="23" spans="1:17" x14ac:dyDescent="0.25">
      <c r="A23" s="174"/>
      <c r="B23" s="216" t="str">
        <f t="shared" si="1"/>
        <v/>
      </c>
      <c r="C23" s="216">
        <f>MAX('Curve-Gilts'!G123:G129)</f>
        <v>0</v>
      </c>
      <c r="D23" s="216" t="str">
        <f t="shared" si="0"/>
        <v/>
      </c>
      <c r="E23" s="216" t="str">
        <f t="shared" si="2"/>
        <v/>
      </c>
      <c r="F23" s="28" t="str">
        <f>IFERROR(IF('Кормовой бюджет'!$C$4="Imperial",VLOOKUP(D23,'Curve-Gilts'!$G$2:$R$185,12,FALSE),VLOOKUP(D23,'Curve-Gilts'!$G$2:$R$185,2,FALSE)),"")</f>
        <v/>
      </c>
      <c r="G23" s="28" t="str">
        <f>IFERROR(IF(F24="",F23+(MAX('Кормовой бюджет'!$C$43:$J$43)-F23),F23),"")</f>
        <v/>
      </c>
      <c r="H23" s="30" t="str">
        <f>IF(F23="","",IF('Кормовой бюджет'!$C$4="Imperial",Q23,P23))</f>
        <v/>
      </c>
      <c r="I23" s="30" t="str">
        <f t="shared" si="3"/>
        <v/>
      </c>
      <c r="J23" s="115" t="str">
        <f t="shared" si="6"/>
        <v/>
      </c>
      <c r="K23" s="115" t="str">
        <f t="shared" si="4"/>
        <v/>
      </c>
      <c r="L23" s="115" t="str">
        <f t="shared" si="7"/>
        <v/>
      </c>
      <c r="M23" s="30" t="str">
        <f>IF(H23="","",SUM($H$5:$H23))</f>
        <v/>
      </c>
      <c r="N23" s="115" t="str">
        <f t="shared" si="8"/>
        <v/>
      </c>
      <c r="P23" s="30" t="str">
        <f>IF($F$23="","",SUM('Curve-Gilts'!$M$123:$M$129))</f>
        <v/>
      </c>
      <c r="Q23" s="30" t="str">
        <f>IF($F$23="","",SUM('Curve-Gilts'!$Q$123:$Q$129))</f>
        <v/>
      </c>
    </row>
    <row r="24" spans="1:17" x14ac:dyDescent="0.25">
      <c r="A24" s="174"/>
      <c r="B24" s="216" t="str">
        <f t="shared" si="1"/>
        <v/>
      </c>
      <c r="C24" s="216">
        <f>MAX('Curve-Gilts'!G130:G136)</f>
        <v>0</v>
      </c>
      <c r="D24" s="216" t="str">
        <f t="shared" si="0"/>
        <v/>
      </c>
      <c r="E24" s="216" t="str">
        <f t="shared" si="2"/>
        <v/>
      </c>
      <c r="F24" s="28" t="str">
        <f>IFERROR(IF('Кормовой бюджет'!$C$4="Imperial",VLOOKUP(D24,'Curve-Gilts'!$G$2:$R$185,12,FALSE),VLOOKUP(D24,'Curve-Gilts'!$G$2:$R$185,2,FALSE)),"")</f>
        <v/>
      </c>
      <c r="G24" s="28" t="str">
        <f>IFERROR(IF(F25="",F24+(MAX('Кормовой бюджет'!$C$43:$J$43)-F24),F24),"")</f>
        <v/>
      </c>
      <c r="H24" s="30" t="str">
        <f>IF(F24="","",IF('Кормовой бюджет'!$C$4="Imperial",Q24,P24))</f>
        <v/>
      </c>
      <c r="I24" s="30" t="str">
        <f t="shared" si="3"/>
        <v/>
      </c>
      <c r="J24" s="115" t="str">
        <f t="shared" si="6"/>
        <v/>
      </c>
      <c r="K24" s="115" t="str">
        <f t="shared" si="4"/>
        <v/>
      </c>
      <c r="L24" s="115" t="str">
        <f t="shared" si="7"/>
        <v/>
      </c>
      <c r="M24" s="30" t="str">
        <f>IF(H24="","",SUM($H$5:$H24))</f>
        <v/>
      </c>
      <c r="N24" s="115" t="str">
        <f t="shared" si="8"/>
        <v/>
      </c>
      <c r="P24" s="30" t="str">
        <f>IF($F$24="","",SUM('Curve-Gilts'!$M$130:$M$136))</f>
        <v/>
      </c>
      <c r="Q24" s="30" t="str">
        <f>IF($F$24="","",SUM('Curve-Gilts'!$Q$130:$Q$136))</f>
        <v/>
      </c>
    </row>
    <row r="25" spans="1:17" x14ac:dyDescent="0.25">
      <c r="A25" s="174"/>
      <c r="B25" s="216" t="str">
        <f t="shared" si="1"/>
        <v/>
      </c>
      <c r="C25" s="216">
        <f>MAX('Curve-Gilts'!G137:G143)</f>
        <v>0</v>
      </c>
      <c r="D25" s="216" t="str">
        <f t="shared" si="0"/>
        <v/>
      </c>
      <c r="E25" s="216" t="str">
        <f t="shared" si="2"/>
        <v/>
      </c>
      <c r="F25" s="28" t="str">
        <f>IFERROR(IF('Кормовой бюджет'!$C$4="Imperial",VLOOKUP(D25,'Curve-Gilts'!$G$2:$R$185,12,FALSE),VLOOKUP(D25,'Curve-Gilts'!$G$2:$R$185,2,FALSE)),"")</f>
        <v/>
      </c>
      <c r="G25" s="28" t="str">
        <f>IFERROR(IF(F26="",F25+(MAX('Кормовой бюджет'!$C$43:$J$43)-F25),F25),"")</f>
        <v/>
      </c>
      <c r="H25" s="30" t="str">
        <f>IF(F25="","",IF('Кормовой бюджет'!$C$4="Imperial",Q25,P25))</f>
        <v/>
      </c>
      <c r="I25" s="30" t="str">
        <f t="shared" si="3"/>
        <v/>
      </c>
      <c r="J25" s="115" t="str">
        <f t="shared" si="6"/>
        <v/>
      </c>
      <c r="K25" s="115" t="str">
        <f t="shared" si="4"/>
        <v/>
      </c>
      <c r="L25" s="115" t="str">
        <f t="shared" si="7"/>
        <v/>
      </c>
      <c r="M25" s="30" t="str">
        <f>IF(H25="","",SUM($H$5:$H25))</f>
        <v/>
      </c>
      <c r="N25" s="115" t="str">
        <f t="shared" si="8"/>
        <v/>
      </c>
      <c r="P25" s="30" t="str">
        <f>IF($F$25="","",SUM('Curve-Gilts'!$M$137:$M$143))</f>
        <v/>
      </c>
      <c r="Q25" s="30" t="str">
        <f>IF($F$25="","",SUM('Curve-Gilts'!$Q$137:$Q$143))</f>
        <v/>
      </c>
    </row>
    <row r="26" spans="1:17" x14ac:dyDescent="0.25">
      <c r="A26" s="174"/>
      <c r="B26" s="216" t="str">
        <f t="shared" si="1"/>
        <v/>
      </c>
      <c r="C26" s="216">
        <f>MAX('Curve-Gilts'!G144:G150)</f>
        <v>0</v>
      </c>
      <c r="D26" s="216" t="str">
        <f t="shared" si="0"/>
        <v/>
      </c>
      <c r="E26" s="216" t="str">
        <f t="shared" si="2"/>
        <v/>
      </c>
      <c r="F26" s="28" t="str">
        <f>IFERROR(IF('Кормовой бюджет'!$C$4="Imperial",VLOOKUP(D26,'Curve-Gilts'!$G$2:$R$185,12,FALSE),VLOOKUP(D26,'Curve-Gilts'!$G$2:$R$185,2,FALSE)),"")</f>
        <v/>
      </c>
      <c r="G26" s="28" t="str">
        <f>IFERROR(IF(F27="",F26+(MAX('Кормовой бюджет'!$C$43:$J$43)-F26),F26),"")</f>
        <v/>
      </c>
      <c r="H26" s="30" t="str">
        <f>IF(F26="","",IF('Кормовой бюджет'!$C$4="Imperial",Q26,P26))</f>
        <v/>
      </c>
      <c r="I26" s="30" t="str">
        <f t="shared" si="3"/>
        <v/>
      </c>
      <c r="J26" s="115" t="str">
        <f t="shared" si="6"/>
        <v/>
      </c>
      <c r="K26" s="115" t="str">
        <f t="shared" si="4"/>
        <v/>
      </c>
      <c r="L26" s="115" t="str">
        <f t="shared" si="7"/>
        <v/>
      </c>
      <c r="M26" s="30" t="str">
        <f>IF(H26="","",SUM($H$5:$H26))</f>
        <v/>
      </c>
      <c r="N26" s="115" t="str">
        <f t="shared" si="8"/>
        <v/>
      </c>
      <c r="P26" s="30" t="str">
        <f>IF($F$26="","",SUM('Curve-Gilts'!$M$144:$M$150))</f>
        <v/>
      </c>
      <c r="Q26" s="30" t="str">
        <f>IF($F$26="","",SUM('Curve-Gilts'!$Q$144:$Q$150))</f>
        <v/>
      </c>
    </row>
    <row r="27" spans="1:17" x14ac:dyDescent="0.25">
      <c r="A27" s="174"/>
      <c r="B27" s="216" t="str">
        <f t="shared" si="1"/>
        <v/>
      </c>
      <c r="C27" s="216">
        <f>MAX('Curve-Gilts'!G151:G157)</f>
        <v>0</v>
      </c>
      <c r="D27" s="216" t="str">
        <f t="shared" si="0"/>
        <v/>
      </c>
      <c r="E27" s="216" t="str">
        <f t="shared" si="2"/>
        <v/>
      </c>
      <c r="F27" s="28" t="str">
        <f>IFERROR(IF('Кормовой бюджет'!$C$4="Imperial",VLOOKUP(D27,'Curve-Gilts'!$G$2:$R$185,12,FALSE),VLOOKUP(D27,'Curve-Gilts'!$G$2:$R$185,2,FALSE)),"")</f>
        <v/>
      </c>
      <c r="G27" s="28" t="str">
        <f>IFERROR(IF(F28="",F27+(MAX('Кормовой бюджет'!$C$43:$J$43)-F27),F27),"")</f>
        <v/>
      </c>
      <c r="H27" s="30" t="str">
        <f>IF(F27="","",IF('Кормовой бюджет'!$C$4="Imperial",Q27,P27))</f>
        <v/>
      </c>
      <c r="I27" s="30" t="str">
        <f t="shared" si="3"/>
        <v/>
      </c>
      <c r="J27" s="115" t="str">
        <f t="shared" si="6"/>
        <v/>
      </c>
      <c r="K27" s="115" t="str">
        <f t="shared" si="4"/>
        <v/>
      </c>
      <c r="L27" s="115" t="str">
        <f t="shared" si="7"/>
        <v/>
      </c>
      <c r="M27" s="30" t="str">
        <f>IF(H27="","",SUM($H$5:$H27))</f>
        <v/>
      </c>
      <c r="N27" s="115" t="str">
        <f t="shared" si="8"/>
        <v/>
      </c>
      <c r="P27" s="30" t="str">
        <f>IF($F$27="","",SUM('Curve-Gilts'!$M$151:$M$157))</f>
        <v/>
      </c>
      <c r="Q27" s="30" t="str">
        <f>IF($F$27="","",SUM('Curve-Gilts'!$Q$151:$Q$157))</f>
        <v/>
      </c>
    </row>
    <row r="28" spans="1:17" x14ac:dyDescent="0.25">
      <c r="A28" s="174"/>
      <c r="B28" s="216" t="str">
        <f t="shared" si="1"/>
        <v/>
      </c>
      <c r="C28" s="151">
        <f>MAX('Curve-Gilts'!G158:G164)</f>
        <v>0</v>
      </c>
      <c r="D28" s="151" t="str">
        <f t="shared" si="0"/>
        <v/>
      </c>
      <c r="E28" s="151" t="str">
        <f t="shared" si="2"/>
        <v/>
      </c>
      <c r="F28" s="28" t="str">
        <f>IFERROR(IF('Кормовой бюджет'!$C$4="Imperial",VLOOKUP(D28,'Curve-Gilts'!$G$2:$R$185,12,FALSE),VLOOKUP(D28,'Curve-Gilts'!$G$2:$R$185,2,FALSE)),"")</f>
        <v/>
      </c>
      <c r="G28" s="28" t="str">
        <f>IFERROR(IF(F29="",F28+(MAX('Кормовой бюджет'!$C$43:$J$43)-F28),F28),"")</f>
        <v/>
      </c>
      <c r="H28" s="30" t="str">
        <f>IF(F28="","",IF('Кормовой бюджет'!$C$4="Imperial",Q28,P28))</f>
        <v/>
      </c>
      <c r="I28" s="30" t="str">
        <f t="shared" si="3"/>
        <v/>
      </c>
      <c r="J28" s="115" t="str">
        <f t="shared" si="6"/>
        <v/>
      </c>
      <c r="K28" s="115" t="str">
        <f t="shared" si="4"/>
        <v/>
      </c>
      <c r="L28" s="115" t="str">
        <f t="shared" si="7"/>
        <v/>
      </c>
      <c r="M28" s="30" t="str">
        <f>IF(H28="","",SUM($H$5:$H28))</f>
        <v/>
      </c>
      <c r="N28" s="115" t="str">
        <f t="shared" si="8"/>
        <v/>
      </c>
      <c r="P28" s="155" t="str">
        <f>IF($F$28="","",SUM('Curve-Gilts'!$M$158:$M$164))</f>
        <v/>
      </c>
      <c r="Q28" s="155" t="str">
        <f>IF($F$28="","",SUM('Curve-Gilts'!$Q$158:$Q$164))</f>
        <v/>
      </c>
    </row>
    <row r="29" spans="1:17" x14ac:dyDescent="0.25">
      <c r="A29" s="174"/>
      <c r="B29" s="216" t="str">
        <f t="shared" si="1"/>
        <v/>
      </c>
      <c r="C29" s="151">
        <f>MAX('Curve-Gilts'!G165:G171)</f>
        <v>0</v>
      </c>
      <c r="D29" s="151" t="str">
        <f t="shared" si="0"/>
        <v/>
      </c>
      <c r="E29" s="151" t="str">
        <f t="shared" si="2"/>
        <v/>
      </c>
      <c r="F29" s="28" t="str">
        <f>IFERROR(IF('Кормовой бюджет'!$C$4="Imperial",VLOOKUP(D29,'Curve-Gilts'!$G$2:$R$185,12,FALSE),VLOOKUP(D29,'Curve-Gilts'!$G$2:$R$185,2,FALSE)),"")</f>
        <v/>
      </c>
      <c r="G29" s="28" t="str">
        <f>IFERROR(IF(F30="",F29+(MAX('Кормовой бюджет'!$C$43:$J$43)-F29),F29),"")</f>
        <v/>
      </c>
      <c r="H29" s="30" t="str">
        <f>IF(F29="","",IF('Кормовой бюджет'!$C$4="Imperial",Q29,P29))</f>
        <v/>
      </c>
      <c r="I29" s="30" t="str">
        <f t="shared" si="3"/>
        <v/>
      </c>
      <c r="J29" s="115" t="str">
        <f t="shared" si="6"/>
        <v/>
      </c>
      <c r="K29" s="115" t="str">
        <f t="shared" si="4"/>
        <v/>
      </c>
      <c r="L29" s="115" t="str">
        <f t="shared" si="7"/>
        <v/>
      </c>
      <c r="M29" s="30" t="str">
        <f>IF(H29="","",SUM($H$5:$H29))</f>
        <v/>
      </c>
      <c r="N29" s="115" t="str">
        <f t="shared" si="8"/>
        <v/>
      </c>
      <c r="P29" s="155" t="str">
        <f>IF($F$29="","",SUM('Curve-Gilts'!$M$165:$M$171))</f>
        <v/>
      </c>
      <c r="Q29" s="155" t="str">
        <f>IF($F$29="","",SUM('Curve-Gilts'!$Q$165:$Q$171))</f>
        <v/>
      </c>
    </row>
    <row r="30" spans="1:17" x14ac:dyDescent="0.25">
      <c r="A30" s="174"/>
      <c r="B30" s="216" t="str">
        <f t="shared" si="1"/>
        <v/>
      </c>
      <c r="C30" s="151">
        <f>MAX('Curve-Gilts'!G172:G178)</f>
        <v>0</v>
      </c>
      <c r="D30" s="151" t="str">
        <f t="shared" si="0"/>
        <v/>
      </c>
      <c r="E30" s="151" t="str">
        <f t="shared" si="2"/>
        <v/>
      </c>
      <c r="F30" s="28" t="str">
        <f>IFERROR(IF('Кормовой бюджет'!$C$4="Imperial",VLOOKUP(D30,'Curve-Gilts'!$G$2:$R$185,12,FALSE),VLOOKUP(D30,'Curve-Gilts'!$G$2:$R$185,2,FALSE)),"")</f>
        <v/>
      </c>
      <c r="G30" s="28" t="str">
        <f>IFERROR(IF(F31="",F30+(MAX('Кормовой бюджет'!$C$43:$J$43)-F30),F30),"")</f>
        <v/>
      </c>
      <c r="H30" s="30" t="str">
        <f>IF(F30="","",IF('Кормовой бюджет'!$C$4="Imperial",Q30,P30))</f>
        <v/>
      </c>
      <c r="I30" s="30" t="str">
        <f t="shared" si="3"/>
        <v/>
      </c>
      <c r="J30" s="115" t="str">
        <f t="shared" si="6"/>
        <v/>
      </c>
      <c r="K30" s="115" t="str">
        <f t="shared" si="4"/>
        <v/>
      </c>
      <c r="L30" s="115" t="str">
        <f t="shared" si="7"/>
        <v/>
      </c>
      <c r="M30" s="30" t="str">
        <f>IF(H30="","",SUM($H$5:$H30))</f>
        <v/>
      </c>
      <c r="N30" s="115" t="str">
        <f>IF(F30="","",M30/(L30*7*E29))</f>
        <v/>
      </c>
      <c r="P30" s="155" t="str">
        <f>IF($F$30="","",SUM('Curve-Gilts'!$M$172:$M$178))</f>
        <v/>
      </c>
      <c r="Q30" s="155" t="str">
        <f>IF($F$30="","",SUM('Curve-Gilts'!$Q$172:$Q$178))</f>
        <v/>
      </c>
    </row>
    <row r="31" spans="1:17" s="162" customFormat="1" x14ac:dyDescent="0.25">
      <c r="A31" s="161"/>
      <c r="B31" s="151" t="str">
        <f>IFERROR(IF(D31-D30&lt;0,"",D31-D30),"")</f>
        <v/>
      </c>
      <c r="C31" s="151">
        <f>MAX('Curve-Gilts'!G179:G185)</f>
        <v>0</v>
      </c>
      <c r="D31" s="151" t="str">
        <f t="shared" si="0"/>
        <v/>
      </c>
      <c r="E31" s="151" t="str">
        <f t="shared" si="2"/>
        <v/>
      </c>
      <c r="F31" s="154" t="str">
        <f>IFERROR(IF('Кормовой бюджет'!$C$4="Imperial",VLOOKUP(D31,'Curve-Gilts'!$G$2:$R$185,12,FALSE),VLOOKUP(D31,'Curve-Gilts'!$G$2:$R$185,2,FALSE)),"")</f>
        <v/>
      </c>
      <c r="G31" s="154" t="str">
        <f>IFERROR(IF(F32="",F31+(MAX('Кормовой бюджет'!$C$43:$J$43)-F31),F31),"")</f>
        <v/>
      </c>
      <c r="H31" s="155" t="str">
        <f>IF(F31="","",IF('Кормовой бюджет'!$C$4="Imperial",Q31,P31))</f>
        <v/>
      </c>
      <c r="I31" s="155" t="str">
        <f t="shared" si="3"/>
        <v/>
      </c>
      <c r="J31" s="157" t="str">
        <f t="shared" si="6"/>
        <v/>
      </c>
      <c r="K31" s="157" t="str">
        <f t="shared" si="4"/>
        <v/>
      </c>
      <c r="L31" s="157" t="str">
        <f t="shared" si="7"/>
        <v/>
      </c>
      <c r="M31" s="155" t="str">
        <f>IF(H31="","",SUM($H$5:$H31))</f>
        <v/>
      </c>
      <c r="N31" s="157" t="str">
        <f t="shared" si="8"/>
        <v/>
      </c>
      <c r="P31" s="155" t="str">
        <f>IF($F$31="","",SUM('Curve-Gilts'!$M$179:$M$185))</f>
        <v/>
      </c>
      <c r="Q31" s="155" t="str">
        <f>IF($F$31="","",SUM('Curve-Gilts'!$Q$179:$Q$185))</f>
        <v/>
      </c>
    </row>
    <row r="32" spans="1:17" s="156" customFormat="1" x14ac:dyDescent="0.25">
      <c r="A32" s="162"/>
    </row>
    <row r="33" spans="1:1" s="156" customFormat="1" x14ac:dyDescent="0.25">
      <c r="A33" s="162"/>
    </row>
  </sheetData>
  <mergeCells count="13">
    <mergeCell ref="I3:I4"/>
    <mergeCell ref="C3:C4"/>
    <mergeCell ref="D2:N2"/>
    <mergeCell ref="D3:D4"/>
    <mergeCell ref="E3:E4"/>
    <mergeCell ref="F3:F4"/>
    <mergeCell ref="G3:G4"/>
    <mergeCell ref="H3:H4"/>
    <mergeCell ref="J3:J4"/>
    <mergeCell ref="K3:K4"/>
    <mergeCell ref="L3:L4"/>
    <mergeCell ref="M3:M4"/>
    <mergeCell ref="N3:N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35929B912A24BBD8B2FFC0C87E709" ma:contentTypeVersion="4" ma:contentTypeDescription="Create a new document." ma:contentTypeScope="" ma:versionID="994cfc7aa69f33d22703884a215541c9">
  <xsd:schema xmlns:xsd="http://www.w3.org/2001/XMLSchema" xmlns:xs="http://www.w3.org/2001/XMLSchema" xmlns:p="http://schemas.microsoft.com/office/2006/metadata/properties" xmlns:ns2="0d5007d6-10e6-4b05-93e0-4ceea4a36e76" xmlns:ns3="34cc2e9b-5efc-4a56-b7a5-4bc072b79e78" targetNamespace="http://schemas.microsoft.com/office/2006/metadata/properties" ma:root="true" ma:fieldsID="9657231a56e5a67fc30dc74254921b5b" ns2:_="" ns3:_="">
    <xsd:import namespace="0d5007d6-10e6-4b05-93e0-4ceea4a36e76"/>
    <xsd:import namespace="34cc2e9b-5efc-4a56-b7a5-4bc072b79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07d6-10e6-4b05-93e0-4ceea4a3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2e9b-5efc-4a56-b7a5-4bc072b79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6B00F-E3B6-4293-BC5D-7EFD19FC0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5007d6-10e6-4b05-93e0-4ceea4a36e76"/>
    <ds:schemaRef ds:uri="34cc2e9b-5efc-4a56-b7a5-4bc072b79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6D6616-A5D3-4C66-8D4A-3143B960C172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0d5007d6-10e6-4b05-93e0-4ceea4a36e76"/>
    <ds:schemaRef ds:uri="http://schemas.openxmlformats.org/package/2006/metadata/core-properties"/>
    <ds:schemaRef ds:uri="34cc2e9b-5efc-4a56-b7a5-4bc072b79e7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7537C2-5AA6-45C5-B076-C912FB3297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Диаграммы</vt:lpstr>
      </vt:variant>
      <vt:variant>
        <vt:i4>4</vt:i4>
      </vt:variant>
    </vt:vector>
  </HeadingPairs>
  <TitlesOfParts>
    <vt:vector size="26" baseType="lpstr">
      <vt:lpstr>Nursery</vt:lpstr>
      <vt:lpstr>800-Adj</vt:lpstr>
      <vt:lpstr>800</vt:lpstr>
      <vt:lpstr>Инструкция</vt:lpstr>
      <vt:lpstr>Кормовой бюджет</vt:lpstr>
      <vt:lpstr>Graphs</vt:lpstr>
      <vt:lpstr>Table Mixed Gender</vt:lpstr>
      <vt:lpstr>Table Barrows</vt:lpstr>
      <vt:lpstr>Table Gilts</vt:lpstr>
      <vt:lpstr>Table</vt:lpstr>
      <vt:lpstr>Curve-Mixed</vt:lpstr>
      <vt:lpstr>Curve-Gilts</vt:lpstr>
      <vt:lpstr>Curve-Barrows</vt:lpstr>
      <vt:lpstr>I-Mixed</vt:lpstr>
      <vt:lpstr>I-Barrows</vt:lpstr>
      <vt:lpstr>I-Gilts</vt:lpstr>
      <vt:lpstr>Adj-Mixed</vt:lpstr>
      <vt:lpstr>Adj-Barrows</vt:lpstr>
      <vt:lpstr>Adj-Gilts</vt:lpstr>
      <vt:lpstr>E-Mixed</vt:lpstr>
      <vt:lpstr>E-Barrows</vt:lpstr>
      <vt:lpstr>E-Gilts</vt:lpstr>
      <vt:lpstr>Weight</vt:lpstr>
      <vt:lpstr>ADFI</vt:lpstr>
      <vt:lpstr>ADG</vt:lpstr>
      <vt:lpstr>FG</vt:lpstr>
    </vt:vector>
  </TitlesOfParts>
  <Manager/>
  <Company>Genus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Uislei Orlando</dc:creator>
  <cp:keywords/>
  <dc:description/>
  <cp:lastModifiedBy>Anton Roschupkin</cp:lastModifiedBy>
  <cp:revision/>
  <dcterms:created xsi:type="dcterms:W3CDTF">2020-12-10T20:24:25Z</dcterms:created>
  <dcterms:modified xsi:type="dcterms:W3CDTF">2022-05-07T09:11:13Z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0x01010084435929B912A24BBD8B2FFC0C87E709</vt:lpwstr>
  </property>
</Properties>
</file>